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B3CF9AC1-FAE3-4150-8C36-C3B01937FC27}" xr6:coauthVersionLast="36" xr6:coauthVersionMax="40" xr10:uidLastSave="{00000000-0000-0000-0000-000000000000}"/>
  <bookViews>
    <workbookView xWindow="28800" yWindow="-8865" windowWidth="21600" windowHeight="37935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1" l="1"/>
  <c r="F56" i="11" l="1"/>
  <c r="F59" i="11"/>
  <c r="F60" i="11"/>
  <c r="F61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38" i="11"/>
  <c r="F3" i="11" l="1"/>
  <c r="F4" i="11"/>
  <c r="C39" i="11" s="1"/>
  <c r="F39" i="11" s="1"/>
  <c r="F6" i="11"/>
  <c r="C40" i="11" s="1"/>
  <c r="F40" i="11" s="1"/>
  <c r="F7" i="11"/>
  <c r="F8" i="11"/>
  <c r="F9" i="11"/>
  <c r="F10" i="11"/>
  <c r="F11" i="11"/>
  <c r="F12" i="11"/>
  <c r="F13" i="11"/>
  <c r="C45" i="11" s="1"/>
  <c r="F45" i="11" s="1"/>
  <c r="F14" i="11"/>
  <c r="F15" i="11"/>
  <c r="F16" i="11"/>
  <c r="C47" i="11" s="1"/>
  <c r="F47" i="11" s="1"/>
  <c r="F17" i="11"/>
  <c r="F18" i="11"/>
  <c r="F19" i="11"/>
  <c r="F20" i="11"/>
  <c r="F21" i="11"/>
  <c r="F22" i="11"/>
  <c r="F23" i="11"/>
  <c r="F24" i="11"/>
  <c r="F26" i="11"/>
  <c r="F27" i="11"/>
  <c r="C92" i="11" s="1"/>
  <c r="F28" i="11"/>
  <c r="C91" i="11" s="1"/>
  <c r="F29" i="11"/>
  <c r="C42" i="11" l="1"/>
  <c r="F42" i="11" s="1"/>
  <c r="C57" i="11"/>
  <c r="F57" i="11" s="1"/>
  <c r="C90" i="11"/>
  <c r="C87" i="11"/>
  <c r="I106" i="1"/>
  <c r="I98" i="1"/>
  <c r="H86" i="1"/>
  <c r="I86" i="1"/>
  <c r="W31" i="1"/>
  <c r="W32" i="1"/>
  <c r="W30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H98" i="1" l="1"/>
  <c r="H97" i="1"/>
  <c r="H107" i="1"/>
  <c r="H106" i="1"/>
  <c r="I97" i="1"/>
  <c r="I107" i="1"/>
  <c r="B60" i="11"/>
  <c r="B61" i="11"/>
  <c r="F32" i="11"/>
  <c r="B59" i="11"/>
  <c r="K123" i="1"/>
  <c r="J123" i="1"/>
  <c r="H30" i="11"/>
  <c r="F30" i="11" s="1"/>
  <c r="C61" i="11" l="1"/>
  <c r="D61" i="11" s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1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29" i="1"/>
  <c r="B12" i="7" s="1"/>
  <c r="A81" i="7" s="1"/>
  <c r="Z30" i="1"/>
  <c r="Z25" i="1"/>
  <c r="B14" i="7" s="1"/>
  <c r="A91" i="7" s="1"/>
  <c r="Z32" i="1"/>
  <c r="B15" i="7" s="1"/>
  <c r="A96" i="7" s="1"/>
  <c r="Z33" i="1"/>
  <c r="B16" i="7" s="1"/>
  <c r="A101" i="7" s="1"/>
  <c r="Z31" i="1"/>
  <c r="B17" i="7" s="1"/>
  <c r="A106" i="7" s="1"/>
  <c r="Z36" i="1"/>
  <c r="B19" i="7" s="1"/>
  <c r="G25" i="7" s="1"/>
  <c r="G27" i="7" s="1"/>
  <c r="Z39" i="1"/>
  <c r="B18" i="7" s="1"/>
  <c r="A111" i="7" s="1"/>
  <c r="Z35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0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H93" i="1"/>
  <c r="J93" i="1" s="1"/>
  <c r="T29" i="1"/>
  <c r="H99" i="1" s="1"/>
  <c r="J99" i="1" s="1"/>
  <c r="X29" i="1" s="1"/>
  <c r="J100" i="1"/>
  <c r="J101" i="1"/>
  <c r="J103" i="1"/>
  <c r="J106" i="1"/>
  <c r="J108" i="1"/>
  <c r="J109" i="1"/>
  <c r="T32" i="1"/>
  <c r="H110" i="1" s="1"/>
  <c r="J110" i="1" s="1"/>
  <c r="X32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0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1" i="1"/>
  <c r="I122" i="1" s="1"/>
  <c r="K122" i="1" s="1"/>
  <c r="V32" i="1"/>
  <c r="I110" i="1" s="1"/>
  <c r="K110" i="1" s="1"/>
  <c r="Y32" i="1" s="1"/>
  <c r="V29" i="1"/>
  <c r="I99" i="1" s="1"/>
  <c r="K99" i="1" s="1"/>
  <c r="Y29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4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5" i="11"/>
  <c r="C86" i="11"/>
  <c r="C88" i="11"/>
  <c r="C89" i="11"/>
  <c r="C93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B66" i="11"/>
  <c r="A66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F38" i="11" s="1"/>
  <c r="C41" i="11"/>
  <c r="F41" i="11" s="1"/>
  <c r="C43" i="11"/>
  <c r="F43" i="11" s="1"/>
  <c r="C44" i="11"/>
  <c r="F44" i="11" s="1"/>
  <c r="C46" i="11"/>
  <c r="F46" i="11" s="1"/>
  <c r="C48" i="11"/>
  <c r="F48" i="11" s="1"/>
  <c r="C49" i="11"/>
  <c r="F49" i="11" s="1"/>
  <c r="C50" i="11"/>
  <c r="F50" i="11" s="1"/>
  <c r="C51" i="11"/>
  <c r="F51" i="11" s="1"/>
  <c r="C52" i="11"/>
  <c r="F52" i="11" s="1"/>
  <c r="C53" i="11"/>
  <c r="F53" i="11" s="1"/>
  <c r="C54" i="11"/>
  <c r="F54" i="11" s="1"/>
  <c r="C55" i="11"/>
  <c r="F55" i="11" s="1"/>
  <c r="C58" i="11"/>
  <c r="F58" i="11" s="1"/>
  <c r="C59" i="11"/>
  <c r="C94" i="11" s="1"/>
  <c r="A62" i="11"/>
  <c r="K2" i="11"/>
  <c r="S48" i="1"/>
  <c r="S49" i="1" s="1"/>
  <c r="T49" i="1"/>
  <c r="T61" i="1"/>
  <c r="R49" i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Z34" i="1"/>
  <c r="Z40" i="1"/>
  <c r="Z41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D60" i="11" l="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0" i="1"/>
  <c r="S51" i="1" s="1"/>
  <c r="T50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X25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2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5" i="11"/>
  <c r="D69" i="11" s="1"/>
  <c r="C62" i="11"/>
  <c r="F33" i="11"/>
  <c r="E32" i="11" s="1"/>
  <c r="C32" i="11" l="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X30" i="1"/>
  <c r="Y18" i="1"/>
  <c r="X16" i="1"/>
  <c r="X18" i="1"/>
  <c r="X20" i="1"/>
  <c r="D6" i="7" s="1"/>
  <c r="E53" i="7" s="1"/>
  <c r="X21" i="1"/>
  <c r="Y16" i="1"/>
  <c r="Y21" i="1"/>
  <c r="T51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2" i="1"/>
  <c r="T52" i="1"/>
  <c r="Y30" i="1"/>
  <c r="D13" i="7" s="1"/>
  <c r="Y31" i="1"/>
  <c r="X31" i="1"/>
  <c r="D17" i="7" s="1"/>
  <c r="C108" i="7" s="1"/>
  <c r="Y15" i="1"/>
  <c r="Y24" i="1"/>
  <c r="D53" i="7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3" i="11"/>
  <c r="D84" i="11"/>
  <c r="D82" i="11"/>
  <c r="D73" i="11"/>
  <c r="D89" i="11"/>
  <c r="D77" i="11"/>
  <c r="D88" i="11"/>
  <c r="D94" i="11"/>
  <c r="D75" i="11"/>
  <c r="D68" i="11"/>
  <c r="D91" i="11"/>
  <c r="D76" i="11"/>
  <c r="D85" i="11"/>
  <c r="D78" i="11"/>
  <c r="D71" i="11"/>
  <c r="D72" i="11"/>
  <c r="D92" i="11"/>
  <c r="D79" i="11"/>
  <c r="D67" i="11"/>
  <c r="D80" i="11"/>
  <c r="D70" i="11"/>
  <c r="D81" i="11"/>
  <c r="D74" i="11"/>
  <c r="D87" i="11"/>
  <c r="D90" i="11"/>
  <c r="D83" i="11"/>
  <c r="D86" i="11"/>
  <c r="E2" i="11"/>
  <c r="E34" i="11"/>
  <c r="C15" i="11" l="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3" i="1"/>
  <c r="S53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20" i="10" s="1"/>
  <c r="B53" i="10" s="1"/>
  <c r="B50" i="11"/>
  <c r="B15" i="10" s="1"/>
  <c r="B48" i="10" s="1"/>
  <c r="B41" i="11"/>
  <c r="B6" i="10" s="1"/>
  <c r="B39" i="10" s="1"/>
  <c r="B49" i="11"/>
  <c r="B14" i="10" s="1"/>
  <c r="B47" i="10" s="1"/>
  <c r="B52" i="11"/>
  <c r="B17" i="10" s="1"/>
  <c r="B50" i="10" s="1"/>
  <c r="B57" i="11"/>
  <c r="B22" i="10" s="1"/>
  <c r="B55" i="10" s="1"/>
  <c r="B44" i="11"/>
  <c r="B9" i="10" s="1"/>
  <c r="B42" i="10" s="1"/>
  <c r="A126" i="7"/>
  <c r="I25" i="7"/>
  <c r="I27" i="7" s="1"/>
  <c r="B39" i="11"/>
  <c r="B4" i="10" s="1"/>
  <c r="B37" i="10" s="1"/>
  <c r="B51" i="11"/>
  <c r="B16" i="10" s="1"/>
  <c r="B49" i="10" s="1"/>
  <c r="B42" i="11"/>
  <c r="B7" i="10" s="1"/>
  <c r="B40" i="10" s="1"/>
  <c r="B53" i="11"/>
  <c r="B18" i="10" s="1"/>
  <c r="B51" i="10" s="1"/>
  <c r="B56" i="11"/>
  <c r="B21" i="10" s="1"/>
  <c r="B54" i="10" s="1"/>
  <c r="B40" i="11"/>
  <c r="B5" i="10" s="1"/>
  <c r="B38" i="10" s="1"/>
  <c r="B47" i="11"/>
  <c r="B12" i="10" s="1"/>
  <c r="B45" i="10" s="1"/>
  <c r="B43" i="11"/>
  <c r="B8" i="10" s="1"/>
  <c r="B41" i="10" s="1"/>
  <c r="B46" i="11"/>
  <c r="B11" i="10" s="1"/>
  <c r="B44" i="10" s="1"/>
  <c r="B54" i="11"/>
  <c r="B19" i="10" s="1"/>
  <c r="B52" i="10" s="1"/>
  <c r="B58" i="11"/>
  <c r="B23" i="10" s="1"/>
  <c r="B56" i="10" s="1"/>
  <c r="B45" i="11"/>
  <c r="B10" i="10" s="1"/>
  <c r="B43" i="10" s="1"/>
  <c r="B48" i="11"/>
  <c r="B13" i="10" s="1"/>
  <c r="B46" i="10" s="1"/>
  <c r="D95" i="11"/>
  <c r="S54" i="1" l="1"/>
  <c r="T54" i="1"/>
  <c r="B81" i="10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T55" i="1" l="1"/>
  <c r="S55" i="1"/>
  <c r="P61" i="10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S56" i="1" l="1"/>
  <c r="T56" i="1"/>
  <c r="T57" i="1" l="1"/>
  <c r="S57" i="1"/>
  <c r="S58" i="1" l="1"/>
  <c r="T58" i="1"/>
  <c r="T59" i="1" l="1"/>
  <c r="V61" i="1" s="1"/>
  <c r="R7" i="1" s="1"/>
  <c r="S7" i="1" s="1"/>
  <c r="S59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7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92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<sst xmlns="http://schemas.openxmlformats.org/spreadsheetml/2006/main" count="15607" uniqueCount="7582">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</sst>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topLeftCell="C49" zoomScaleNormal="100" workbookViewId="0">
      <selection activeCell="R59" sqref="R59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$F2*$T$31</f>
        <v>13.434967741935484</v>
      </c>
      <c r="I2" s="21">
        <f>$F2*$V$31</f>
        <v>1.4371428571428573</v>
      </c>
      <c r="J2" s="21">
        <f t="shared" ref="J2:J33" si="0">H2*(-$M2)</f>
        <v>45678.890322580643</v>
      </c>
      <c r="K2" s="21">
        <f t="shared" ref="K2:K33" si="1">I2*(-$M2)</f>
        <v>4886.2857142857147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0.1373126171201425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31.861294862772692</v>
      </c>
      <c r="I3" s="21">
        <f>$F3*$V$23</f>
        <v>3.4922765657987327</v>
      </c>
      <c r="J3" s="21">
        <f t="shared" si="0"/>
        <v>235773.58198451792</v>
      </c>
      <c r="K3" s="21">
        <f t="shared" si="1"/>
        <v>25842.846586910622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11.030596540769501</v>
      </c>
      <c r="I4" s="21">
        <f>F4*$V$13</f>
        <v>1.4162089657606778</v>
      </c>
      <c r="J4" s="21">
        <f t="shared" si="0"/>
        <v>43681.162301447228</v>
      </c>
      <c r="K4" s="21">
        <f t="shared" si="1"/>
        <v>5608.1875044122844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335477.03999999998</v>
      </c>
      <c r="R4" s="29">
        <v>57473.2</v>
      </c>
      <c r="S4" s="40">
        <f>Q4+R4</f>
        <v>392950.24</v>
      </c>
      <c r="T4" s="26">
        <f>S4/Q4-1</f>
        <v>0.17131783444852156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27.185064872657374</v>
      </c>
      <c r="I5" s="21">
        <f>E5*$V$24</f>
        <v>3.1998702546852478</v>
      </c>
      <c r="J5" s="21">
        <f t="shared" si="0"/>
        <v>107652.85689572321</v>
      </c>
      <c r="K5" s="21">
        <f t="shared" si="1"/>
        <v>12671.486208553581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33.239300961764016</v>
      </c>
      <c r="I7" s="21">
        <f>F7*$V$23</f>
        <v>3.6433180858550314</v>
      </c>
      <c r="J7" s="21">
        <f t="shared" si="0"/>
        <v>131627.63180858552</v>
      </c>
      <c r="K7" s="21">
        <f t="shared" si="1"/>
        <v>14427.539619985924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91309.989999999991</v>
      </c>
      <c r="R7" s="11">
        <f>V61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28.267367611725131</v>
      </c>
      <c r="I8" s="21">
        <f>E8*$V$24</f>
        <v>3.3272647765497361</v>
      </c>
      <c r="J8" s="21">
        <f t="shared" si="0"/>
        <v>111938.77574243152</v>
      </c>
      <c r="K8" s="21">
        <f t="shared" si="1"/>
        <v>13175.968515136954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28.142704469005285</v>
      </c>
      <c r="I10" s="21">
        <f>E10*$V$24</f>
        <v>3.3125910619894285</v>
      </c>
      <c r="J10" s="21">
        <f t="shared" si="0"/>
        <v>111445.10969726092</v>
      </c>
      <c r="K10" s="21">
        <f t="shared" si="1"/>
        <v>13117.860605478138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32.598572884811418</v>
      </c>
      <c r="I11" s="21">
        <f>F11*$V$22</f>
        <v>3.5730886850152905</v>
      </c>
      <c r="J11" s="21">
        <f t="shared" si="0"/>
        <v>130185.66067278288</v>
      </c>
      <c r="K11" s="21">
        <f t="shared" si="1"/>
        <v>14269.486972477063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27.32841820496499</v>
      </c>
      <c r="I12" s="21">
        <f>F12*$V$17</f>
        <v>2.2473010821133035</v>
      </c>
      <c r="J12" s="21">
        <f t="shared" si="0"/>
        <v>106241.41204525779</v>
      </c>
      <c r="K12" s="21">
        <f t="shared" si="1"/>
        <v>8736.5627408020355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32.623882335808936</v>
      </c>
      <c r="I13" s="21">
        <f>F13*$V$22</f>
        <v>3.575862822193097</v>
      </c>
      <c r="J13" s="21">
        <f t="shared" si="0"/>
        <v>130387.87053152757</v>
      </c>
      <c r="K13" s="21">
        <f t="shared" si="1"/>
        <v>14291.650941459151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2.8330000000000002</v>
      </c>
      <c r="S13" s="89">
        <v>12.54</v>
      </c>
      <c r="T13" s="32">
        <f t="shared" ref="T13:T32" si="2">S13/R13</f>
        <v>4.4264031062477933</v>
      </c>
      <c r="U13" s="31">
        <v>1.61</v>
      </c>
      <c r="V13" s="32">
        <f t="shared" ref="V13:V32" si="3">U13/R13</f>
        <v>0.56830215319449351</v>
      </c>
      <c r="W13" s="53">
        <v>0.12839999999999999</v>
      </c>
      <c r="X13" s="44">
        <f>SUMIF(C:C,"=红利",J:J)/SUMIFS(M:M,C:C,"=红利",M:M,"&lt;0")*-1</f>
        <v>11.513477607739562</v>
      </c>
      <c r="Y13" s="44">
        <f>SUMIF(C:C,"=红利",K:K)/SUMIFS(M:M,C:C,"=红利",M:M,"&lt;0")*-1</f>
        <v>1.4782056577719851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25.640957988542333</v>
      </c>
      <c r="I14" s="21">
        <f>F14*$V$17</f>
        <v>2.1085359643539148</v>
      </c>
      <c r="J14" s="21">
        <f t="shared" si="0"/>
        <v>93507.44559261619</v>
      </c>
      <c r="K14" s="21">
        <f t="shared" si="1"/>
        <v>7689.4089548058564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2.9350000000000001</v>
      </c>
      <c r="S14" s="89">
        <v>10.47</v>
      </c>
      <c r="T14" s="32">
        <f t="shared" si="2"/>
        <v>3.5672913117546852</v>
      </c>
      <c r="U14" s="31">
        <v>1.28</v>
      </c>
      <c r="V14" s="32">
        <f t="shared" si="3"/>
        <v>0.43611584327086883</v>
      </c>
      <c r="W14" s="53">
        <v>0.12180000000000001</v>
      </c>
      <c r="X14" s="44">
        <f>SUMIF(C:C,"=50ETF",J:J)/SUMIFS(M:M,C:C,"=50ETF",M:M,"&lt;0")*-1</f>
        <v>8.5115570698466794</v>
      </c>
      <c r="Y14" s="44">
        <f>SUMIF(C:C,"=50ETF",K:K)/SUMIFS(M:M,C:C,"=50ETF",M:M,"&lt;0")*-1</f>
        <v>1.040572402044293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28.21636905333974</v>
      </c>
      <c r="I15" s="21">
        <f>E15*$V$24</f>
        <v>3.3212618933205196</v>
      </c>
      <c r="J15" s="21">
        <f t="shared" si="0"/>
        <v>223473.64290245075</v>
      </c>
      <c r="K15" s="21">
        <f t="shared" si="1"/>
        <v>26304.394195098514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4.0541999999999998</v>
      </c>
      <c r="S15" s="89">
        <v>13.31</v>
      </c>
      <c r="T15" s="32">
        <f t="shared" si="2"/>
        <v>3.2830151447881213</v>
      </c>
      <c r="U15" s="31">
        <v>1.58</v>
      </c>
      <c r="V15" s="32">
        <f t="shared" si="3"/>
        <v>0.3897193034384096</v>
      </c>
      <c r="W15" s="53">
        <v>0.1186</v>
      </c>
      <c r="X15" s="44">
        <f>SUMIF(C:C,"=300ETF",J:J)/SUMIFS(M:M,C:C,"=300ETF",M:M,"&lt;0")*-1</f>
        <v>11.163745501873018</v>
      </c>
      <c r="Y15" s="44">
        <f>SUMIF(C:C,"=300ETF",K:K)/SUMIFS(M:M,C:C,"=300ETF",M:M,"&lt;0")*-1</f>
        <v>1.3252229821907868</v>
      </c>
      <c r="Z15" s="130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31.788670452890635</v>
      </c>
      <c r="I16" s="21">
        <f>F16*$V$22</f>
        <v>3.4843162953254696</v>
      </c>
      <c r="J16" s="21">
        <f t="shared" si="0"/>
        <v>123772.36727537497</v>
      </c>
      <c r="K16" s="21">
        <f t="shared" si="1"/>
        <v>13566.533927479248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1.9830000000000001</v>
      </c>
      <c r="S16" s="89">
        <v>13.31</v>
      </c>
      <c r="T16" s="32">
        <f t="shared" si="2"/>
        <v>6.7120524457892081</v>
      </c>
      <c r="U16" s="31">
        <v>1.58</v>
      </c>
      <c r="V16" s="32">
        <f t="shared" si="3"/>
        <v>0.79677256681795261</v>
      </c>
      <c r="W16" s="115">
        <v>0.1186</v>
      </c>
      <c r="X16" s="44">
        <f>SUMIF(C:C,"=300ETF",J:J)/SUMIFS(M:M,C:C,"=300ETF",M:M,"&lt;0")*-1</f>
        <v>11.163745501873018</v>
      </c>
      <c r="Y16" s="44">
        <f>SUMIF(C:C,"=300ETF",K:K)/SUMIFS(M:M,C:C,"=300ETF",M:M,"&lt;0")*-1</f>
        <v>1.3252229821907868</v>
      </c>
      <c r="Z16" s="131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6.2839999999999998</v>
      </c>
      <c r="S17" s="89">
        <v>26.51</v>
      </c>
      <c r="T17" s="32">
        <f t="shared" si="2"/>
        <v>4.2186505410566522</v>
      </c>
      <c r="U17" s="31">
        <v>2.1800000000000002</v>
      </c>
      <c r="V17" s="32">
        <f t="shared" si="3"/>
        <v>0.34691279439847234</v>
      </c>
      <c r="W17" s="115">
        <v>8.2100000000000006E-2</v>
      </c>
      <c r="X17" s="44">
        <f>SUMIF(C:C,"=500ETF",J:J)/SUMIFS(M:M,C:C,"=500ETF",M:M,"&lt;0")*-1</f>
        <v>24.062919056231024</v>
      </c>
      <c r="Y17" s="44">
        <f>SUMIF(C:C,"=500ETF",K:K)/SUMIFS(M:M,C:C,"=500ETF",M:M,"&lt;0")*-1</f>
        <v>1.9787689001351805</v>
      </c>
      <c r="Z17" s="130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11.238637486763148</v>
      </c>
      <c r="I18" s="21">
        <f>F18*$V$13</f>
        <v>1.442919166960819</v>
      </c>
      <c r="J18" s="21">
        <f t="shared" si="0"/>
        <v>44505.004447582069</v>
      </c>
      <c r="K18" s="21">
        <f t="shared" si="1"/>
        <v>5713.9599011648434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2.1800000000000002</v>
      </c>
      <c r="S18" s="89">
        <v>26.51</v>
      </c>
      <c r="T18" s="32">
        <f t="shared" si="2"/>
        <v>12.160550458715596</v>
      </c>
      <c r="U18" s="31">
        <v>2.1800000000000002</v>
      </c>
      <c r="V18" s="32">
        <f t="shared" si="3"/>
        <v>1</v>
      </c>
      <c r="W18" s="115">
        <v>8.2100000000000006E-2</v>
      </c>
      <c r="X18" s="44">
        <f>SUMIF(C:C,"=500ETF",J:J)/SUMIFS(M:M,C:C,"=500ETF",M:M,"&lt;0")*-1</f>
        <v>24.062919056231024</v>
      </c>
      <c r="Y18" s="44">
        <f>SUMIF(C:C,"=500ETF",K:K)/SUMIFS(M:M,C:C,"=500ETF",M:M,"&lt;0")*-1</f>
        <v>1.9787689001351805</v>
      </c>
      <c r="Z18" s="131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0.75160000000000005</v>
      </c>
      <c r="S19" s="89">
        <v>41.98</v>
      </c>
      <c r="T19" s="32">
        <f t="shared" si="2"/>
        <v>55.854177754124528</v>
      </c>
      <c r="U19" s="31">
        <v>2.52</v>
      </c>
      <c r="V19" s="32">
        <f t="shared" si="3"/>
        <v>3.352847259180415</v>
      </c>
      <c r="W19" s="115">
        <v>5.9900000000000002E-2</v>
      </c>
      <c r="X19" s="44">
        <f>SUMIF(C:C,"=1000ETF",J:J)/SUMIFS(M:M,C:C,"=1000ETF",M:M,"&lt;0")*-1</f>
        <v>40.987866391629289</v>
      </c>
      <c r="Y19" s="44">
        <f>SUMIF(C:C,"=1000ETF",K:K)/SUMIFS(M:M,C:C,"=1000ETF",M:M,"&lt;0")*-1</f>
        <v>2.4604436233183851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27.779813812858055</v>
      </c>
      <c r="I20" s="21">
        <f>F20*$V$17</f>
        <v>2.2844207511139403</v>
      </c>
      <c r="J20" s="21">
        <f t="shared" si="0"/>
        <v>219559.98085502867</v>
      </c>
      <c r="K20" s="21">
        <f t="shared" si="1"/>
        <v>18055.102160089114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1.7009000000000001</v>
      </c>
      <c r="S20" s="89">
        <v>56.33</v>
      </c>
      <c r="T20" s="32">
        <f>S20/R20</f>
        <v>33.117761185254864</v>
      </c>
      <c r="U20" s="31">
        <v>4.87</v>
      </c>
      <c r="V20" s="32">
        <f>U20/R20</f>
        <v>2.8631900758422013</v>
      </c>
      <c r="W20" s="115">
        <v>8.6499999999999994E-2</v>
      </c>
      <c r="X20" s="44">
        <f>SUMIF(C:C,"=创业板",J:J)/SUMIFS(M:M,C:C,"=创业板",M:M,"&lt;0")*-1</f>
        <v>44.680759022145743</v>
      </c>
      <c r="Y20" s="44">
        <f>SUMIF(C:C,"=创业板",K:K)/SUMIFS(M:M,C:C,"=创业板",M:M,"&lt;0")*-1</f>
        <v>3.8628669703151024</v>
      </c>
      <c r="Z20" s="130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35.552705882352946</v>
      </c>
      <c r="I21" s="21">
        <f>F21*$V$27</f>
        <v>2.6152329411764708</v>
      </c>
      <c r="J21" s="21">
        <f t="shared" si="0"/>
        <v>142210.82352941178</v>
      </c>
      <c r="K21" s="21">
        <f t="shared" si="1"/>
        <v>10460.931764705883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1.8251999999999999</v>
      </c>
      <c r="S21" s="89">
        <v>56.33</v>
      </c>
      <c r="T21" s="32">
        <f>S21/R21</f>
        <v>30.862371246986633</v>
      </c>
      <c r="U21" s="31">
        <v>4.87</v>
      </c>
      <c r="V21" s="32">
        <f>U21/R21</f>
        <v>2.6682007451238223</v>
      </c>
      <c r="W21" s="115">
        <v>8.6499999999999994E-2</v>
      </c>
      <c r="X21" s="44">
        <f>SUMIF(C:C,"=创业板",J:J)/SUMIFS(M:M,C:C,"=创业板",M:M,"&lt;0")*-1</f>
        <v>44.680759022145743</v>
      </c>
      <c r="Y21" s="44">
        <f>SUMIF(C:C,"=创业板",K:K)/SUMIFS(M:M,C:C,"=创业板",M:M,"&lt;0")*-1</f>
        <v>3.8628669703151024</v>
      </c>
      <c r="Z21" s="132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27.168109484404841</v>
      </c>
      <c r="I22" s="21">
        <f>F22*$V$17</f>
        <v>2.2341183959261621</v>
      </c>
      <c r="J22" s="21">
        <f t="shared" si="0"/>
        <v>104998.49449204329</v>
      </c>
      <c r="K22" s="21">
        <f t="shared" si="1"/>
        <v>8634.3537530235535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1.3734</v>
      </c>
      <c r="S22" s="89">
        <v>34.76</v>
      </c>
      <c r="T22" s="32">
        <f t="shared" si="2"/>
        <v>25.30945099752439</v>
      </c>
      <c r="U22" s="31">
        <v>3.81</v>
      </c>
      <c r="V22" s="32">
        <f t="shared" si="3"/>
        <v>2.7741371778069026</v>
      </c>
      <c r="W22" s="115">
        <v>0.1096</v>
      </c>
      <c r="X22" s="44">
        <f>SUMIF(C:C,"=医药",J:J)/SUMIFS(M:M,C:C,"=医药",M:M,"&lt;0")*-1</f>
        <v>31.184989286480302</v>
      </c>
      <c r="Y22" s="44">
        <f>SUMIF(C:C,"=医药",K:K)/SUMIFS(M:M,C:C,"=医药",M:M,"&lt;0")*-1</f>
        <v>3.418147559881759</v>
      </c>
      <c r="Z22" s="130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27.73340865690643</v>
      </c>
      <c r="I23" s="21">
        <f>F23*$V$17</f>
        <v>2.2806047103755569</v>
      </c>
      <c r="J23" s="21">
        <f t="shared" si="0"/>
        <v>109413.56649914068</v>
      </c>
      <c r="K23" s="21">
        <f t="shared" si="1"/>
        <v>8997.4188973265427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0.85260000000000002</v>
      </c>
      <c r="S23" s="89">
        <v>34.76</v>
      </c>
      <c r="T23" s="32">
        <f t="shared" si="2"/>
        <v>40.769411212760964</v>
      </c>
      <c r="U23" s="31">
        <v>3.81</v>
      </c>
      <c r="V23" s="32">
        <f t="shared" si="3"/>
        <v>4.4686840253342712</v>
      </c>
      <c r="W23" s="115">
        <v>0.1096</v>
      </c>
      <c r="X23" s="44">
        <f>SUMIF(C:C,"=医药",J:J)/SUMIFS(M:M,C:C,"=医药",M:M,"&lt;0")*-1</f>
        <v>31.184989286480302</v>
      </c>
      <c r="Y23" s="44">
        <f>SUMIF(C:C,"=医药",K:K)/SUMIFS(M:M,C:C,"=医药",M:M,"&lt;0")*-1</f>
        <v>3.418147559881759</v>
      </c>
      <c r="Z23" s="131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12.504588775150017</v>
      </c>
      <c r="I24" s="21">
        <f>F24*$V$13</f>
        <v>1.6054535827744443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1.0405</v>
      </c>
      <c r="S24" s="89">
        <v>29.48</v>
      </c>
      <c r="T24" s="32">
        <f t="shared" si="2"/>
        <v>28.332532436328687</v>
      </c>
      <c r="U24" s="31">
        <v>3.47</v>
      </c>
      <c r="V24" s="32">
        <f t="shared" si="3"/>
        <v>3.3349351273426242</v>
      </c>
      <c r="W24" s="115">
        <v>0.1177</v>
      </c>
      <c r="X24" s="44">
        <f>SUMIF(C:C,"=养老",J:J)/SUMIFS(M:M,C:C,"=养老",M:M,"&lt;0")*-1</f>
        <v>26.428580414848135</v>
      </c>
      <c r="Y24" s="44">
        <f>SUMIF(C:C,"=养老",K:K)/SUMIFS(M:M,C:C,"=养老",M:M,"&lt;0")*-1</f>
        <v>3.0730904610689751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55.905511811023622</v>
      </c>
      <c r="I25" s="21">
        <f>F25*$V$28</f>
        <v>3.5542432195975504</v>
      </c>
      <c r="J25" s="21">
        <f t="shared" si="0"/>
        <v>223666.77165354331</v>
      </c>
      <c r="K25" s="21">
        <f t="shared" si="1"/>
        <v>14219.81627296588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1.137</v>
      </c>
      <c r="S25" s="89">
        <v>46.64</v>
      </c>
      <c r="T25" s="32">
        <f t="shared" si="2"/>
        <v>41.020228671943713</v>
      </c>
      <c r="U25" s="31">
        <v>1.98</v>
      </c>
      <c r="V25" s="32">
        <f t="shared" si="3"/>
        <v>1.7414248021108178</v>
      </c>
      <c r="W25" s="115">
        <v>4.24E-2</v>
      </c>
      <c r="X25" s="44">
        <f>SUMIF(C:C,"=证券",J:J)/SUMIFS(M:M,C:C,"=证券",M:M,"&lt;0")*-1</f>
        <v>32.688224004938228</v>
      </c>
      <c r="Y25" s="44">
        <f>SUMIF(C:C,"=证券",K:K)/SUMIFS(M:M,C:C,"=证券",M:M,"&lt;0")*-1</f>
        <v>1.3877076228511511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27.210295989815407</v>
      </c>
      <c r="I26" s="21">
        <f>F26*$V$17</f>
        <v>2.2375875238701468</v>
      </c>
      <c r="J26" s="21">
        <f t="shared" si="0"/>
        <v>105324.79740849778</v>
      </c>
      <c r="K26" s="21">
        <f t="shared" si="1"/>
        <v>8661.1866597708486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0.85719999999999996</v>
      </c>
      <c r="S26" s="89">
        <v>29.5</v>
      </c>
      <c r="T26" s="32">
        <f t="shared" si="2"/>
        <v>34.414372375174992</v>
      </c>
      <c r="U26" s="31">
        <v>2.17</v>
      </c>
      <c r="V26" s="32">
        <f t="shared" si="3"/>
        <v>2.5314979001399909</v>
      </c>
      <c r="W26" s="115">
        <v>7.3599999999999999E-2</v>
      </c>
      <c r="X26" s="44">
        <f>SUMIF(C:C,"=环保",J:J)/SUMIFS(M:M,C:C,"=环保",M:M,"&lt;0")*-1</f>
        <v>29.969484496442252</v>
      </c>
      <c r="Y26" s="44">
        <f>SUMIF(C:C,"=环保",K:K)/SUMIFS(M:M,C:C,"=环保",M:M,"&lt;0")*-1</f>
        <v>2.2045349612637182</v>
      </c>
      <c r="Z26" s="130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32.332000000000001</v>
      </c>
      <c r="I27" s="21">
        <f>F27*$V$27</f>
        <v>2.37832</v>
      </c>
      <c r="J27" s="21">
        <f t="shared" si="0"/>
        <v>129328</v>
      </c>
      <c r="K27" s="21">
        <f t="shared" si="1"/>
        <v>9513.2800000000007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0.63749999999999996</v>
      </c>
      <c r="S27" s="89">
        <v>29.5</v>
      </c>
      <c r="T27" s="32">
        <f t="shared" si="2"/>
        <v>46.274509803921575</v>
      </c>
      <c r="U27" s="31">
        <v>2.17</v>
      </c>
      <c r="V27" s="32">
        <f t="shared" si="3"/>
        <v>3.4039215686274513</v>
      </c>
      <c r="W27" s="115">
        <v>7.3599999999999999E-2</v>
      </c>
      <c r="X27" s="44">
        <f>SUMIF(C:C,"=环保",J:J)/SUMIFS(M:M,C:C,"=环保",M:M,"&lt;0")*-1</f>
        <v>29.969484496442252</v>
      </c>
      <c r="Y27" s="44">
        <f>SUMIF(C:C,"=环保",K:K)/SUMIFS(M:M,C:C,"=环保",M:M,"&lt;0")*-1</f>
        <v>2.2045349612637182</v>
      </c>
      <c r="Z27" s="131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25.49330521960535</v>
      </c>
      <c r="I28" s="21">
        <f>F28*$V$17</f>
        <v>2.0963940165499682</v>
      </c>
      <c r="J28" s="21">
        <f t="shared" si="0"/>
        <v>200312.88096389247</v>
      </c>
      <c r="K28" s="21">
        <f t="shared" si="1"/>
        <v>16472.353093220878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0.91439999999999999</v>
      </c>
      <c r="S28" s="89">
        <v>51.12</v>
      </c>
      <c r="T28" s="32">
        <f t="shared" si="2"/>
        <v>55.905511811023622</v>
      </c>
      <c r="U28" s="31">
        <v>3.25</v>
      </c>
      <c r="V28" s="32">
        <f t="shared" si="3"/>
        <v>3.5542432195975504</v>
      </c>
      <c r="W28" s="73">
        <v>6.3500000000000001E-2</v>
      </c>
      <c r="X28" s="44">
        <f>SUMIF(C:C,"=传媒",J:J)/SUMIFS(M:M,C:C,"=传媒",M:M,"&lt;0")*-1</f>
        <v>49.179902568035907</v>
      </c>
      <c r="Y28" s="44">
        <f>SUMIF(C:C,"=传媒",K:K)/SUMIFS(M:M,C:C,"=传媒",M:M,"&lt;0")*-1</f>
        <v>3.1266565599788083</v>
      </c>
      <c r="Z28" s="33">
        <f>(SUMIF(C:C,"=传媒",M:M)*-1)/$Q$2</f>
        <v>3.70254125E-2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25.37518300445576</v>
      </c>
      <c r="I29" s="21">
        <f>F29*$V$17</f>
        <v>2.086680458306811</v>
      </c>
      <c r="J29" s="21">
        <f t="shared" si="0"/>
        <v>1267096.5682323361</v>
      </c>
      <c r="K29" s="21">
        <f t="shared" si="1"/>
        <v>104197.3036117123</v>
      </c>
      <c r="L29" s="5" t="s">
        <v>24</v>
      </c>
      <c r="M29" s="1">
        <v>-49934.48</v>
      </c>
      <c r="N29" s="4">
        <v>9.9800000000032014</v>
      </c>
      <c r="O29" s="4"/>
      <c r="P29" s="25" t="s">
        <v>7295</v>
      </c>
      <c r="Q29" s="36">
        <v>110022</v>
      </c>
      <c r="R29" s="37">
        <v>2.6179999999999999</v>
      </c>
      <c r="S29" s="89">
        <v>33.200000000000003</v>
      </c>
      <c r="T29" s="32">
        <f t="shared" si="2"/>
        <v>12.681436210847977</v>
      </c>
      <c r="U29" s="31">
        <v>6.07</v>
      </c>
      <c r="V29" s="32">
        <f t="shared" si="3"/>
        <v>2.3185637891520248</v>
      </c>
      <c r="W29" s="73">
        <v>0.18279999999999999</v>
      </c>
      <c r="X29" s="44">
        <f>SUMIF(C:C,"=消费",J:J)/SUMIF(C:C,"=消费",M:M)*-1</f>
        <v>21.723300229182584</v>
      </c>
      <c r="Y29" s="44">
        <f>SUMIF(C:C,"=消费",K:K)/SUMIFS(M:M,C:C,"=消费",M:M,"&lt;0")*-1</f>
        <v>3.971699770817418</v>
      </c>
      <c r="Z29" s="59">
        <f>(SUMIF(C:C,"=消费",M:M)*-1)/$Q$2</f>
        <v>8.0000000000000002E-3</v>
      </c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11.89374514648782</v>
      </c>
      <c r="I30" s="21">
        <f>F30*$V$13</f>
        <v>1.5270278856336039</v>
      </c>
      <c r="J30" s="21">
        <f t="shared" si="0"/>
        <v>237874.90292975641</v>
      </c>
      <c r="K30" s="21">
        <f t="shared" si="1"/>
        <v>30540.557712672078</v>
      </c>
      <c r="L30" s="7" t="s">
        <v>10</v>
      </c>
      <c r="M30" s="4">
        <v>-20000</v>
      </c>
      <c r="N30" s="4">
        <v>29.96</v>
      </c>
      <c r="O30" s="4"/>
      <c r="P30" s="25" t="s">
        <v>125</v>
      </c>
      <c r="Q30" s="36" t="s">
        <v>131</v>
      </c>
      <c r="R30" s="37">
        <v>1.1398999999999999</v>
      </c>
      <c r="S30" s="72">
        <v>9.83</v>
      </c>
      <c r="T30" s="32">
        <f t="shared" si="2"/>
        <v>8.6235634704798674</v>
      </c>
      <c r="U30" s="72">
        <v>1.22</v>
      </c>
      <c r="V30" s="32">
        <f t="shared" si="3"/>
        <v>1.0702693218703396</v>
      </c>
      <c r="W30" s="73">
        <f>U30/S30</f>
        <v>0.12410986775178026</v>
      </c>
      <c r="X30" s="44">
        <f>SUMIF(C:C,"=金融地产",J:J)/SUMIFS(M:M,C:C,"=金融地产",M:M,"&lt;0")*-1</f>
        <v>7.8307705354270851</v>
      </c>
      <c r="Y30" s="44">
        <f>SUMIF(C:C,"=金融地产",K:K)/SUMIFS(M:M,C:C,"=金融地产",M:M,"&lt;0")*-1</f>
        <v>0.97187589554639298</v>
      </c>
      <c r="Z30" s="33">
        <f>(SUMIF(C:C,"=海外互联网",M:M)*-1)/$Q$2</f>
        <v>1.6E-2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43.342841937200632</v>
      </c>
      <c r="I31" s="21">
        <f>F31*$V$19</f>
        <v>2.601809473124002</v>
      </c>
      <c r="J31" s="21">
        <f t="shared" si="0"/>
        <v>867931.74122405518</v>
      </c>
      <c r="K31" s="21">
        <f t="shared" si="1"/>
        <v>52100.714337413512</v>
      </c>
      <c r="L31" s="5" t="s">
        <v>24</v>
      </c>
      <c r="M31" s="1">
        <v>-20024.8</v>
      </c>
      <c r="N31" s="4">
        <v>4</v>
      </c>
      <c r="O31" s="4"/>
      <c r="P31" s="25" t="s">
        <v>126</v>
      </c>
      <c r="Q31" s="36" t="s">
        <v>132</v>
      </c>
      <c r="R31" s="37">
        <v>1.085</v>
      </c>
      <c r="S31" s="78">
        <v>14.49</v>
      </c>
      <c r="T31" s="79">
        <f t="shared" si="2"/>
        <v>13.35483870967742</v>
      </c>
      <c r="U31" s="72">
        <v>1.55</v>
      </c>
      <c r="V31" s="32">
        <f t="shared" si="3"/>
        <v>1.4285714285714286</v>
      </c>
      <c r="W31" s="115">
        <f t="shared" ref="W31:W32" si="4">U31/S31</f>
        <v>0.1069703243616287</v>
      </c>
      <c r="X31" s="44">
        <f>SUMIF(C:C,"=德国30",J:J)/SUMIFS(M:M,C:C,"=德国30",M:M,"&lt;0")*-1</f>
        <v>14.607357122466459</v>
      </c>
      <c r="Y31" s="44">
        <f>SUMIF(C:C,"=德国30",K:K)/SUMIFS(M:M,C:C,"=德国30",M:M,"&lt;0")*-1</f>
        <v>1.5625537294563845</v>
      </c>
      <c r="Z31" s="33">
        <f>(SUMIF(C:C,"=德国30",M:M)*-1)/$Q$2</f>
        <v>2.8250000000000001E-2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42.449175093134642</v>
      </c>
      <c r="I32" s="21">
        <f>F32*$V$19</f>
        <v>2.5481639169771153</v>
      </c>
      <c r="J32" s="21">
        <f t="shared" si="0"/>
        <v>425935.44737626391</v>
      </c>
      <c r="K32" s="21">
        <f t="shared" si="1"/>
        <v>25568.302224587544</v>
      </c>
      <c r="L32" s="5" t="s">
        <v>24</v>
      </c>
      <c r="M32" s="1">
        <v>-10034.01</v>
      </c>
      <c r="N32" s="4">
        <v>2.0100000000002183</v>
      </c>
      <c r="O32" s="4"/>
      <c r="P32" s="25" t="s">
        <v>127</v>
      </c>
      <c r="Q32" s="36" t="s">
        <v>66</v>
      </c>
      <c r="R32" s="37">
        <v>1.5692999999999999</v>
      </c>
      <c r="S32" s="72">
        <v>11.2</v>
      </c>
      <c r="T32" s="32">
        <f t="shared" si="2"/>
        <v>7.136940036959154</v>
      </c>
      <c r="U32" s="72">
        <v>1.23</v>
      </c>
      <c r="V32" s="32">
        <f t="shared" si="3"/>
        <v>0.78378895048747854</v>
      </c>
      <c r="W32" s="115">
        <f t="shared" si="4"/>
        <v>0.10982142857142858</v>
      </c>
      <c r="X32" s="44">
        <f>SUMIF(C:C,"=恒生",J:J)/SUMIFS(M:M,C:C,"=恒生",M:M,"&lt;0")*-1</f>
        <v>10.349990441598163</v>
      </c>
      <c r="Y32" s="44">
        <f>SUMIF(C:C,"=恒生",K:K)/SUMIFS(M:M,C:C,"=恒生",M:M,"&lt;0")*-1</f>
        <v>1.1366507359969413</v>
      </c>
      <c r="Z32" s="33">
        <f>(SUMIF(C:C,"=恒生",M:M)*-1)/$Q$2</f>
        <v>8.0000000000000002E-3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7304</v>
      </c>
      <c r="Q33" s="36" t="s">
        <v>7306</v>
      </c>
      <c r="R33" s="37">
        <v>1.286</v>
      </c>
      <c r="S33" s="31"/>
      <c r="T33" s="32"/>
      <c r="U33" s="31"/>
      <c r="V33" s="32"/>
      <c r="W33" s="32"/>
      <c r="X33" s="66"/>
      <c r="Y33" s="66"/>
      <c r="Z33" s="65">
        <f>(SUMIF(C:C,"=海外互联网",M:M)*-1)/$Q$2</f>
        <v>1.6E-2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31.799843137254907</v>
      </c>
      <c r="I34" s="21">
        <f>F34*$V$27</f>
        <v>2.3391749019607846</v>
      </c>
      <c r="J34" s="21">
        <f t="shared" ref="J34:J65" si="5">H34*(-$M34)</f>
        <v>127199.37254901962</v>
      </c>
      <c r="K34" s="21">
        <f t="shared" ref="K34:K65" si="6">I34*(-$M34)</f>
        <v>9356.6996078431384</v>
      </c>
      <c r="L34" s="6" t="s">
        <v>16</v>
      </c>
      <c r="M34" s="4">
        <v>-4000</v>
      </c>
      <c r="N34" s="4">
        <v>4.79</v>
      </c>
      <c r="O34" s="4"/>
      <c r="P34" s="25" t="s">
        <v>128</v>
      </c>
      <c r="Q34" s="36" t="s">
        <v>133</v>
      </c>
      <c r="R34" s="37">
        <v>1.044</v>
      </c>
      <c r="S34" s="74"/>
      <c r="T34" s="74"/>
      <c r="U34" s="74"/>
      <c r="V34" s="74"/>
      <c r="W34" s="74"/>
      <c r="X34" s="2"/>
      <c r="Y34" s="43"/>
      <c r="Z34" s="65">
        <f>(SUMIF(C:C,"=国债",M:M)*-1)/$Q$2</f>
        <v>-1.1850999999999999E-3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30.93852076528232</v>
      </c>
      <c r="I35" s="21">
        <f>F35*$V$26</f>
        <v>2.2758166122258516</v>
      </c>
      <c r="J35" s="21">
        <f t="shared" si="5"/>
        <v>125186.8459577695</v>
      </c>
      <c r="K35" s="21">
        <f t="shared" si="6"/>
        <v>9208.6595162155863</v>
      </c>
      <c r="L35" s="5" t="s">
        <v>24</v>
      </c>
      <c r="M35" s="1">
        <v>-4046.31</v>
      </c>
      <c r="N35" s="4">
        <v>0.80999999999994543</v>
      </c>
      <c r="O35" s="4"/>
      <c r="P35" s="25" t="s">
        <v>129</v>
      </c>
      <c r="Q35" s="36" t="s">
        <v>7315</v>
      </c>
      <c r="R35" s="37">
        <v>1.454</v>
      </c>
      <c r="S35" s="74"/>
      <c r="T35" s="74"/>
      <c r="U35" s="74"/>
      <c r="V35" s="74"/>
      <c r="W35" s="74"/>
      <c r="X35" s="2"/>
      <c r="Y35" s="43"/>
      <c r="Z35" s="33">
        <f>(SUMIF(C:C,"=海外债",M:M)*-1)/$Q$2</f>
        <v>6.4313999999999994E-3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7317</v>
      </c>
      <c r="Q36" s="36">
        <v>340001</v>
      </c>
      <c r="R36" s="37">
        <v>3.7959999999999998</v>
      </c>
      <c r="S36" s="74"/>
      <c r="T36" s="74"/>
      <c r="U36" s="74"/>
      <c r="V36" s="74"/>
      <c r="W36" s="74"/>
      <c r="X36" s="2"/>
      <c r="Y36" s="43"/>
      <c r="Z36" s="130">
        <f>(SUMIF(C:C,"=可转债",M:M)*-1)/$Q$2</f>
        <v>5.6000000000000001E-2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52.886614173228345</v>
      </c>
      <c r="I37" s="21">
        <f>F37*$V$28</f>
        <v>3.3623140857392824</v>
      </c>
      <c r="J37" s="21">
        <f t="shared" si="5"/>
        <v>340277.23538582679</v>
      </c>
      <c r="K37" s="21">
        <f t="shared" si="6"/>
        <v>21633.431435914259</v>
      </c>
      <c r="L37" s="5" t="s">
        <v>24</v>
      </c>
      <c r="M37" s="1">
        <v>-6434.09</v>
      </c>
      <c r="N37" s="4">
        <v>1.2899999999999636</v>
      </c>
      <c r="O37" s="4"/>
      <c r="P37" s="25" t="s">
        <v>7316</v>
      </c>
      <c r="Q37" s="36" t="s">
        <v>7318</v>
      </c>
      <c r="R37" s="37">
        <v>2.3774000000000002</v>
      </c>
      <c r="S37" s="74"/>
      <c r="T37" s="74"/>
      <c r="U37" s="74"/>
      <c r="V37" s="74"/>
      <c r="W37" s="74"/>
      <c r="X37" s="70"/>
      <c r="Y37" s="70"/>
      <c r="Z37" s="131"/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31.592393840410644</v>
      </c>
      <c r="I38" s="21">
        <f>F38*$V$26</f>
        <v>2.3239150723285116</v>
      </c>
      <c r="J38" s="21">
        <f t="shared" si="5"/>
        <v>606259.30149323388</v>
      </c>
      <c r="K38" s="21">
        <f t="shared" si="6"/>
        <v>44596.023194587033</v>
      </c>
      <c r="L38" s="5" t="s">
        <v>24</v>
      </c>
      <c r="M38" s="1">
        <v>-19190.04</v>
      </c>
      <c r="N38" s="4">
        <v>3.8400000000001455</v>
      </c>
      <c r="O38" s="4"/>
      <c r="P38" s="25" t="s">
        <v>7313</v>
      </c>
      <c r="Q38" s="36" t="s">
        <v>7314</v>
      </c>
      <c r="R38" s="37">
        <v>2.5910000000000002</v>
      </c>
      <c r="S38" s="74"/>
      <c r="T38" s="74"/>
      <c r="U38" s="74"/>
      <c r="V38" s="74"/>
      <c r="W38" s="74"/>
      <c r="X38" s="70"/>
      <c r="Y38" s="70"/>
      <c r="Z38" s="131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7311</v>
      </c>
      <c r="Q39" s="36" t="s">
        <v>7312</v>
      </c>
      <c r="R39" s="77">
        <v>0.50700000000000001</v>
      </c>
      <c r="S39" s="76"/>
      <c r="T39" s="76"/>
      <c r="U39" s="74"/>
      <c r="V39" s="74"/>
      <c r="W39" s="74"/>
      <c r="X39" s="68"/>
      <c r="Y39" s="68"/>
      <c r="Z39" s="67">
        <f>(SUMIF(C:C,"=原油",M:M)*-1)/$Q$2</f>
        <v>2.4E-2</v>
      </c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36.466983289357962</v>
      </c>
      <c r="I40" s="21">
        <f>F40*$V$25</f>
        <v>1.5481266490765171</v>
      </c>
      <c r="J40" s="21">
        <f t="shared" si="5"/>
        <v>466929.08875426563</v>
      </c>
      <c r="K40" s="21">
        <f t="shared" si="6"/>
        <v>19822.461315039578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36">
        <v>518880</v>
      </c>
      <c r="R40" s="37">
        <v>1.0582</v>
      </c>
      <c r="S40" s="74"/>
      <c r="T40" s="74"/>
      <c r="U40" s="74"/>
      <c r="V40" s="74"/>
      <c r="W40" s="74"/>
      <c r="X40" s="2"/>
      <c r="Y40" s="43"/>
      <c r="Z40" s="33">
        <f>(SUMIF(C:C,"=黄金",M:M)*-1)/$Q$2</f>
        <v>8.0536124999999997E-3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52.886614173228345</v>
      </c>
      <c r="I41" s="21">
        <f>F41*$V$28</f>
        <v>3.3623140857392824</v>
      </c>
      <c r="J41" s="21">
        <f t="shared" si="5"/>
        <v>340277.23538582679</v>
      </c>
      <c r="K41" s="21">
        <f t="shared" si="6"/>
        <v>21633.431435914259</v>
      </c>
      <c r="L41" s="5" t="s">
        <v>24</v>
      </c>
      <c r="M41" s="1">
        <v>-6434.09</v>
      </c>
      <c r="N41" s="4">
        <v>1.29</v>
      </c>
      <c r="O41" s="4"/>
      <c r="P41" s="25" t="s">
        <v>57</v>
      </c>
      <c r="Q41" s="36"/>
      <c r="R41" s="116"/>
      <c r="S41" s="74"/>
      <c r="T41" s="74"/>
      <c r="U41" s="74"/>
      <c r="V41" s="74"/>
      <c r="W41" s="74"/>
      <c r="X41" s="2"/>
      <c r="Y41" s="43"/>
      <c r="Z41" s="33">
        <f>(SUMIF(C:C,"=白银",M:M)*-1)/$Q$2</f>
        <v>2.0792575000000001E-2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25.328777848504139</v>
      </c>
      <c r="I42" s="21">
        <f>F42*$V$17</f>
        <v>2.0828644175684277</v>
      </c>
      <c r="J42" s="21">
        <f t="shared" si="5"/>
        <v>167314.81440942077</v>
      </c>
      <c r="K42" s="21">
        <f t="shared" si="6"/>
        <v>13758.819140420115</v>
      </c>
      <c r="L42" s="5" t="s">
        <v>24</v>
      </c>
      <c r="M42" s="1">
        <v>-6605.72</v>
      </c>
      <c r="N42" s="4">
        <v>1.32</v>
      </c>
      <c r="O42" s="4"/>
      <c r="P42" s="25" t="s">
        <v>58</v>
      </c>
      <c r="Q42" s="36"/>
      <c r="R42" s="74"/>
      <c r="S42" s="2"/>
      <c r="T42" s="74"/>
      <c r="U42" s="74"/>
      <c r="V42" s="74"/>
      <c r="W42" s="74"/>
      <c r="X42" s="2"/>
      <c r="Y42" s="43"/>
      <c r="Z42" s="33">
        <f>1-SUM(Z13:Z41)</f>
        <v>0.10134491249999988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/>
      <c r="Q43" s="36"/>
      <c r="R43" s="74"/>
      <c r="S43" s="68"/>
      <c r="T43" s="74"/>
      <c r="U43" s="74"/>
      <c r="V43" s="74"/>
      <c r="W43" s="74"/>
      <c r="X43" s="68"/>
      <c r="Y43" s="68"/>
      <c r="Z43" s="67"/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24.923787396562702</v>
      </c>
      <c r="I44" s="21">
        <f>F44*$V$17</f>
        <v>2.0495607893061747</v>
      </c>
      <c r="J44" s="21">
        <f t="shared" si="5"/>
        <v>162007.11045639723</v>
      </c>
      <c r="K44" s="21">
        <f t="shared" si="6"/>
        <v>13322.350086569068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74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F45*$T$30</f>
        <v>8.1406439161329942</v>
      </c>
      <c r="I45" s="21">
        <f>F45*$V$30</f>
        <v>1.0103342398456006</v>
      </c>
      <c r="J45" s="21">
        <f t="shared" si="5"/>
        <v>52100.121063251165</v>
      </c>
      <c r="K45" s="21">
        <f t="shared" si="6"/>
        <v>6466.1391350118438</v>
      </c>
      <c r="L45" s="7" t="s">
        <v>10</v>
      </c>
      <c r="M45" s="1">
        <v>-6400</v>
      </c>
      <c r="N45" s="4">
        <v>7.67</v>
      </c>
      <c r="O45" s="4"/>
      <c r="P45" s="74"/>
      <c r="Q45" s="74"/>
      <c r="R45" s="74"/>
      <c r="S45" s="74"/>
      <c r="T45" s="74"/>
      <c r="U45" s="74"/>
      <c r="V45" s="74"/>
      <c r="W45" s="74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24.47239178866964</v>
      </c>
      <c r="I46" s="21">
        <f>F46*$V$17</f>
        <v>2.0124411203055379</v>
      </c>
      <c r="J46" s="21">
        <f t="shared" si="5"/>
        <v>468576.06698859017</v>
      </c>
      <c r="K46" s="21">
        <f t="shared" si="6"/>
        <v>38532.471747835778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 t="s">
        <v>70</v>
      </c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11.960024172463125</v>
      </c>
      <c r="I47" s="21">
        <f>F47*$V$15</f>
        <v>1.4197474224261262</v>
      </c>
      <c r="J47" s="21">
        <f t="shared" si="5"/>
        <v>78442.330140175618</v>
      </c>
      <c r="K47" s="21">
        <f t="shared" si="6"/>
        <v>9311.711616940458</v>
      </c>
      <c r="L47" s="5" t="s">
        <v>24</v>
      </c>
      <c r="M47" s="1">
        <v>-6558.71</v>
      </c>
      <c r="N47" s="4">
        <v>1.31</v>
      </c>
      <c r="O47" s="4"/>
      <c r="P47" s="74"/>
      <c r="Q47" s="74" t="s">
        <v>7277</v>
      </c>
      <c r="R47" s="74" t="s">
        <v>112</v>
      </c>
      <c r="S47" s="74" t="s">
        <v>113</v>
      </c>
      <c r="T47" s="74" t="s">
        <v>114</v>
      </c>
      <c r="U47" s="74" t="s">
        <v>115</v>
      </c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23.308044239338006</v>
      </c>
      <c r="I48" s="21">
        <f>F48*$V$17</f>
        <v>1.9166931890515597</v>
      </c>
      <c r="J48" s="21">
        <f t="shared" si="5"/>
        <v>296246.17460375564</v>
      </c>
      <c r="K48" s="21">
        <f t="shared" si="6"/>
        <v>24361.247100572888</v>
      </c>
      <c r="L48" s="5" t="s">
        <v>24</v>
      </c>
      <c r="M48" s="1">
        <v>-12710.04</v>
      </c>
      <c r="N48" s="4">
        <v>2.54</v>
      </c>
      <c r="O48" s="4"/>
      <c r="P48" s="3">
        <v>43101</v>
      </c>
      <c r="Q48" s="74">
        <v>0</v>
      </c>
      <c r="R48" s="74">
        <v>93506.63</v>
      </c>
      <c r="S48" s="74">
        <f>$Q$2-R48</f>
        <v>706493.37</v>
      </c>
      <c r="T48" s="74">
        <v>0</v>
      </c>
      <c r="U48" s="34">
        <v>3.5000000000000003E-2</v>
      </c>
      <c r="V48" s="3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22.835555378739659</v>
      </c>
      <c r="I49" s="21">
        <f>F49*$V$17</f>
        <v>1.8778389560789308</v>
      </c>
      <c r="J49" s="21">
        <f t="shared" si="5"/>
        <v>148360.31974013368</v>
      </c>
      <c r="K49" s="21">
        <f t="shared" si="6"/>
        <v>12200.131913749205</v>
      </c>
      <c r="L49" s="5" t="s">
        <v>24</v>
      </c>
      <c r="M49" s="1">
        <v>-6496.9</v>
      </c>
      <c r="N49" s="4">
        <v>1.3</v>
      </c>
      <c r="O49" s="4"/>
      <c r="P49" s="3">
        <v>43132</v>
      </c>
      <c r="Q49" s="35">
        <v>6627.55</v>
      </c>
      <c r="R49" s="35">
        <f t="shared" ref="R49:R59" si="7">R48+Q49</f>
        <v>100134.18000000001</v>
      </c>
      <c r="S49" s="35">
        <f t="shared" ref="S49:S59" si="8">S48-Q49</f>
        <v>699865.82</v>
      </c>
      <c r="T49" s="35">
        <f t="shared" ref="T49:T61" si="9">(S48*$U$48)/12</f>
        <v>2060.6056625000001</v>
      </c>
      <c r="U49" s="74"/>
      <c r="V49" s="7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43160</v>
      </c>
      <c r="Q50" s="35">
        <v>65662.720000000001</v>
      </c>
      <c r="R50" s="35">
        <f t="shared" si="7"/>
        <v>165796.90000000002</v>
      </c>
      <c r="S50" s="35">
        <f t="shared" si="8"/>
        <v>634203.1</v>
      </c>
      <c r="T50" s="35">
        <f t="shared" si="9"/>
        <v>2041.2753083333334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31.544555848724716</v>
      </c>
      <c r="I51" s="21">
        <f>F51*$V$25</f>
        <v>1.339155672823219</v>
      </c>
      <c r="J51" s="21">
        <f t="shared" si="5"/>
        <v>201379.81364714159</v>
      </c>
      <c r="K51" s="21">
        <f t="shared" si="6"/>
        <v>8549.1430321899734</v>
      </c>
      <c r="L51" s="5" t="s">
        <v>24</v>
      </c>
      <c r="M51" s="1">
        <v>-6383.98</v>
      </c>
      <c r="N51" s="4">
        <v>1.28</v>
      </c>
      <c r="O51" s="4"/>
      <c r="P51" s="3">
        <v>43191</v>
      </c>
      <c r="Q51" s="35">
        <v>0</v>
      </c>
      <c r="R51" s="35">
        <f t="shared" si="7"/>
        <v>165796.90000000002</v>
      </c>
      <c r="S51" s="35">
        <f t="shared" si="8"/>
        <v>634203.1</v>
      </c>
      <c r="T51" s="35">
        <f t="shared" si="9"/>
        <v>1849.7590416666669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48.616873419954139</v>
      </c>
      <c r="I52" s="21">
        <f>F52*$V$20</f>
        <v>4.2031630313363513</v>
      </c>
      <c r="J52" s="21">
        <f t="shared" si="5"/>
        <v>314088.8245608795</v>
      </c>
      <c r="K52" s="21">
        <f t="shared" si="6"/>
        <v>27154.492732318184</v>
      </c>
      <c r="L52" s="5" t="s">
        <v>24</v>
      </c>
      <c r="M52" s="1">
        <v>-6460.49</v>
      </c>
      <c r="N52" s="4">
        <v>1.29</v>
      </c>
      <c r="O52" s="4"/>
      <c r="P52" s="3">
        <v>43221</v>
      </c>
      <c r="Q52" s="35">
        <v>54032.87</v>
      </c>
      <c r="R52" s="35">
        <f t="shared" si="7"/>
        <v>219829.77000000002</v>
      </c>
      <c r="S52" s="35">
        <f t="shared" si="8"/>
        <v>580170.23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11.319836219229442</v>
      </c>
      <c r="I53" s="21">
        <f>F53*$V$15</f>
        <v>1.3437521582556362</v>
      </c>
      <c r="J53" s="21">
        <f t="shared" si="5"/>
        <v>70269.468107937457</v>
      </c>
      <c r="K53" s="21">
        <f t="shared" si="6"/>
        <v>8341.5296476740186</v>
      </c>
      <c r="L53" s="5" t="s">
        <v>24</v>
      </c>
      <c r="M53" s="1">
        <v>-6207.64</v>
      </c>
      <c r="N53" s="4">
        <v>1.24</v>
      </c>
      <c r="O53" s="4"/>
      <c r="P53" s="3">
        <v>43252</v>
      </c>
      <c r="Q53" s="35">
        <v>89910.99</v>
      </c>
      <c r="R53" s="35">
        <f t="shared" si="7"/>
        <v>309740.76</v>
      </c>
      <c r="S53" s="35">
        <f t="shared" si="8"/>
        <v>490259.24</v>
      </c>
      <c r="T53" s="35">
        <f t="shared" si="9"/>
        <v>1692.1631708333334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26.292580494633693</v>
      </c>
      <c r="I54" s="21">
        <f>F54*$V$26</f>
        <v>1.934064395706953</v>
      </c>
      <c r="J54" s="21">
        <f t="shared" si="5"/>
        <v>168768.91908539433</v>
      </c>
      <c r="K54" s="21">
        <f t="shared" si="6"/>
        <v>12414.527268315447</v>
      </c>
      <c r="L54" s="5" t="s">
        <v>24</v>
      </c>
      <c r="M54" s="1">
        <v>-6418.88</v>
      </c>
      <c r="N54" s="4">
        <v>1.28</v>
      </c>
      <c r="O54" s="4"/>
      <c r="P54" s="3">
        <v>43282</v>
      </c>
      <c r="Q54" s="35">
        <v>89683.87</v>
      </c>
      <c r="R54" s="35">
        <f t="shared" si="7"/>
        <v>399424.63</v>
      </c>
      <c r="S54" s="35">
        <f t="shared" si="8"/>
        <v>400575.37</v>
      </c>
      <c r="T54" s="35">
        <f t="shared" si="9"/>
        <v>1429.9227833333334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F55*$T$30</f>
        <v>7.330028949907887</v>
      </c>
      <c r="I55" s="21">
        <f>F55*$V$30</f>
        <v>0.90972892358978863</v>
      </c>
      <c r="J55" s="21">
        <f t="shared" si="5"/>
        <v>46912.185279410478</v>
      </c>
      <c r="K55" s="21">
        <f t="shared" si="6"/>
        <v>5822.2651109746475</v>
      </c>
      <c r="L55" s="7" t="s">
        <v>10</v>
      </c>
      <c r="M55" s="1">
        <v>-6400</v>
      </c>
      <c r="N55" s="4">
        <v>7.67</v>
      </c>
      <c r="O55" s="4"/>
      <c r="P55" s="3">
        <v>43313</v>
      </c>
      <c r="Q55" s="35">
        <v>52162.37</v>
      </c>
      <c r="R55" s="35">
        <f t="shared" si="7"/>
        <v>451587</v>
      </c>
      <c r="S55" s="35">
        <f t="shared" si="8"/>
        <v>348413</v>
      </c>
      <c r="T55" s="35">
        <f t="shared" si="9"/>
        <v>1168.3448291666666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11.561764913519237</v>
      </c>
      <c r="I56" s="21">
        <f>F56*$V$13</f>
        <v>1.4844052241440171</v>
      </c>
      <c r="J56" s="21">
        <f t="shared" si="5"/>
        <v>73995.295446523116</v>
      </c>
      <c r="K56" s="21">
        <f t="shared" si="6"/>
        <v>9500.1934345217087</v>
      </c>
      <c r="L56" s="7" t="s">
        <v>10</v>
      </c>
      <c r="M56" s="4">
        <v>-6400</v>
      </c>
      <c r="N56" s="4">
        <v>9.59</v>
      </c>
      <c r="O56" s="4"/>
      <c r="P56" s="3">
        <v>43344</v>
      </c>
      <c r="Q56" s="35">
        <v>59031.360000000001</v>
      </c>
      <c r="R56" s="35">
        <f t="shared" si="7"/>
        <v>510618.36</v>
      </c>
      <c r="S56" s="35">
        <f t="shared" si="8"/>
        <v>289381.64</v>
      </c>
      <c r="T56" s="35">
        <f t="shared" si="9"/>
        <v>1016.2045833333335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28.324032676597788</v>
      </c>
      <c r="I57" s="21">
        <f>E57*$V$24</f>
        <v>3.3339346468044213</v>
      </c>
      <c r="J57" s="21">
        <f t="shared" si="5"/>
        <v>181273.80913022585</v>
      </c>
      <c r="K57" s="21">
        <f t="shared" si="6"/>
        <v>21337.181739548298</v>
      </c>
      <c r="L57" s="7" t="s">
        <v>10</v>
      </c>
      <c r="M57" s="4">
        <v>-6400</v>
      </c>
      <c r="N57" s="4">
        <v>7.67</v>
      </c>
      <c r="O57" s="4"/>
      <c r="P57" s="3">
        <v>43374</v>
      </c>
      <c r="Q57" s="35">
        <v>54609.62</v>
      </c>
      <c r="R57" s="35">
        <f t="shared" si="7"/>
        <v>565227.98</v>
      </c>
      <c r="S57" s="35">
        <f t="shared" si="8"/>
        <v>234772.02000000002</v>
      </c>
      <c r="T57" s="35">
        <f t="shared" si="9"/>
        <v>844.0297833333334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11.482089657606775</v>
      </c>
      <c r="I58" s="21">
        <f>F58*$V$13</f>
        <v>1.4741757853865161</v>
      </c>
      <c r="J58" s="21">
        <f t="shared" si="5"/>
        <v>73485.373808683362</v>
      </c>
      <c r="K58" s="21">
        <f t="shared" si="6"/>
        <v>9434.7250264737031</v>
      </c>
      <c r="L58" s="7" t="s">
        <v>10</v>
      </c>
      <c r="M58" s="4">
        <v>-6400</v>
      </c>
      <c r="N58" s="4">
        <v>9.59</v>
      </c>
      <c r="O58" s="4"/>
      <c r="P58" s="3">
        <v>43405</v>
      </c>
      <c r="Q58" s="35">
        <v>70013.06</v>
      </c>
      <c r="R58" s="35">
        <f t="shared" si="7"/>
        <v>635241.04</v>
      </c>
      <c r="S58" s="35">
        <f t="shared" si="8"/>
        <v>164758.96000000002</v>
      </c>
      <c r="T58" s="35">
        <f t="shared" si="9"/>
        <v>684.75172500000008</v>
      </c>
      <c r="U58" s="74"/>
      <c r="V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43435</v>
      </c>
      <c r="Q59" s="35">
        <v>46876.7</v>
      </c>
      <c r="R59" s="35">
        <f t="shared" si="7"/>
        <v>682117.74</v>
      </c>
      <c r="S59" s="35">
        <f t="shared" si="8"/>
        <v>117882.26000000002</v>
      </c>
      <c r="T59" s="35">
        <f t="shared" si="9"/>
        <v>480.54696666666678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8.5115570698466794</v>
      </c>
      <c r="I60" s="21">
        <f>F60*$V$14</f>
        <v>1.040572402044293</v>
      </c>
      <c r="J60" s="21">
        <f t="shared" si="5"/>
        <v>54844.132863986379</v>
      </c>
      <c r="K60" s="21">
        <f t="shared" si="6"/>
        <v>6704.917866848381</v>
      </c>
      <c r="L60" s="5" t="s">
        <v>24</v>
      </c>
      <c r="M60" s="1">
        <v>-6443.49</v>
      </c>
      <c r="N60" s="4">
        <v>1.29</v>
      </c>
      <c r="O60" s="4"/>
      <c r="P60" s="3">
        <v>43555</v>
      </c>
      <c r="Q60" s="35"/>
      <c r="R60" s="35"/>
      <c r="S60" s="35"/>
      <c r="T60" s="35">
        <v>600.61</v>
      </c>
      <c r="V60" s="74" t="s">
        <v>7417</v>
      </c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$F61*$T$31</f>
        <v>15.985741935483873</v>
      </c>
      <c r="I61" s="21">
        <f>$F61*$V$31</f>
        <v>1.7100000000000002</v>
      </c>
      <c r="J61" s="21">
        <f t="shared" si="5"/>
        <v>102308.74838709678</v>
      </c>
      <c r="K61" s="21">
        <f t="shared" si="6"/>
        <v>10944.000000000002</v>
      </c>
      <c r="L61" s="7" t="s">
        <v>10</v>
      </c>
      <c r="M61" s="4">
        <v>-6400</v>
      </c>
      <c r="N61" s="4">
        <v>7.67</v>
      </c>
      <c r="O61" s="4"/>
      <c r="P61" s="3">
        <v>43646</v>
      </c>
      <c r="Q61" s="35"/>
      <c r="R61" s="35"/>
      <c r="S61" s="35"/>
      <c r="T61" s="35">
        <f t="shared" si="9"/>
        <v>0</v>
      </c>
      <c r="V61" s="35">
        <f>SUM(T48:T61)</f>
        <v>15717.972895833336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45.730708661417317</v>
      </c>
      <c r="I62" s="21">
        <f>F62*$V$28</f>
        <v>2.9073709536307959</v>
      </c>
      <c r="J62" s="21">
        <f t="shared" si="5"/>
        <v>291838.74885039369</v>
      </c>
      <c r="K62" s="21">
        <f t="shared" si="6"/>
        <v>18553.911067366578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36.416923895689195</v>
      </c>
      <c r="I64" s="21">
        <f>F64*$V$19</f>
        <v>2.1860564129856308</v>
      </c>
      <c r="J64" s="21">
        <f t="shared" si="5"/>
        <v>118742.84290047898</v>
      </c>
      <c r="K64" s="21">
        <f t="shared" si="6"/>
        <v>7127.9648430015977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22.869304583068111</v>
      </c>
      <c r="I65" s="21">
        <f>F65*$V$17</f>
        <v>1.8806142584341186</v>
      </c>
      <c r="J65" s="21">
        <f t="shared" si="5"/>
        <v>148799.13026973268</v>
      </c>
      <c r="K65" s="21">
        <f t="shared" si="6"/>
        <v>12236.216672501592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34.573736029803079</v>
      </c>
      <c r="I66" s="21">
        <f>F66*$V$19</f>
        <v>2.0754124534326768</v>
      </c>
      <c r="J66" s="21">
        <f t="shared" ref="J66:J99" si="10">H66*(-$M66)</f>
        <v>111308.06872378923</v>
      </c>
      <c r="K66" s="21">
        <f t="shared" ref="K66:K99" si="11">I66*(-$M66)</f>
        <v>6681.6658690792974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21.700738383195418</v>
      </c>
      <c r="I67" s="21">
        <f>F67*$V$17</f>
        <v>1.7845194143857417</v>
      </c>
      <c r="J67" s="21">
        <f t="shared" si="10"/>
        <v>133981.0098</v>
      </c>
      <c r="K67" s="21">
        <f t="shared" si="11"/>
        <v>11017.6764</v>
      </c>
      <c r="L67" s="5" t="s">
        <v>24</v>
      </c>
      <c r="M67" s="1">
        <v>-6174.03</v>
      </c>
      <c r="N67" s="4">
        <v>1.23</v>
      </c>
      <c r="O67" s="4"/>
      <c r="P67" s="15"/>
      <c r="R67" s="58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10.952138523013172</v>
      </c>
      <c r="I68" s="21">
        <f>F68*$V$15</f>
        <v>1.3001035962705343</v>
      </c>
      <c r="J68" s="21">
        <f t="shared" si="10"/>
        <v>69432.94403019092</v>
      </c>
      <c r="K68" s="21">
        <f t="shared" si="11"/>
        <v>8242.2277661684184</v>
      </c>
      <c r="L68" s="5" t="s">
        <v>24</v>
      </c>
      <c r="M68" s="1">
        <v>-6339.67</v>
      </c>
      <c r="N68" s="4">
        <v>1.27</v>
      </c>
      <c r="O68" s="4"/>
      <c r="P68" s="3"/>
      <c r="Q68" s="58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31.839289354885683</v>
      </c>
      <c r="I69" s="21">
        <f>F69*$V$22</f>
        <v>3.4898645696810835</v>
      </c>
      <c r="J69" s="21">
        <f t="shared" si="10"/>
        <v>204315.26693344981</v>
      </c>
      <c r="K69" s="21">
        <f t="shared" si="11"/>
        <v>22394.740132809085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11.473236851394281</v>
      </c>
      <c r="I71" s="21">
        <f>F71*$V$13</f>
        <v>1.4730391810801273</v>
      </c>
      <c r="J71" s="21">
        <f t="shared" si="10"/>
        <v>73428.715848923399</v>
      </c>
      <c r="K71" s="21">
        <f t="shared" si="11"/>
        <v>9427.4507589128152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25.431281114848627</v>
      </c>
      <c r="I74" s="21">
        <f>E74*$V$24</f>
        <v>2.9934377703027395</v>
      </c>
      <c r="J74" s="21">
        <f t="shared" si="10"/>
        <v>162760.1991350312</v>
      </c>
      <c r="K74" s="21">
        <f t="shared" si="11"/>
        <v>19158.001729937532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31.861294862772692</v>
      </c>
      <c r="I75" s="21">
        <f>F75*$V$23</f>
        <v>3.4922765657987327</v>
      </c>
      <c r="J75" s="21">
        <f t="shared" si="10"/>
        <v>203912.28712174523</v>
      </c>
      <c r="K75" s="21">
        <f t="shared" si="11"/>
        <v>22350.570021111889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28.324032676597788</v>
      </c>
      <c r="I76" s="21">
        <f>E76*$V$24</f>
        <v>2.9907698222008654</v>
      </c>
      <c r="J76" s="21">
        <f t="shared" si="10"/>
        <v>181273.80913022585</v>
      </c>
      <c r="K76" s="21">
        <f t="shared" si="11"/>
        <v>19140.92686208554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40.92283464566929</v>
      </c>
      <c r="I77" s="21">
        <f>F77*$V$28</f>
        <v>2.6017060367454068</v>
      </c>
      <c r="J77" s="21">
        <f t="shared" si="10"/>
        <v>260664.95215748032</v>
      </c>
      <c r="K77" s="21">
        <f t="shared" si="11"/>
        <v>16572.008891076115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21.721831635900703</v>
      </c>
      <c r="I78" s="21">
        <f>F78*$V$17</f>
        <v>1.786253978357734</v>
      </c>
      <c r="J78" s="21">
        <f t="shared" si="10"/>
        <v>134241.78838313179</v>
      </c>
      <c r="K78" s="21">
        <f t="shared" si="11"/>
        <v>11039.12103640993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21.650114576702737</v>
      </c>
      <c r="I79" s="21">
        <f>F79*$V$17</f>
        <v>1.7803564608529598</v>
      </c>
      <c r="J79" s="21">
        <f t="shared" si="10"/>
        <v>11113.003812221514</v>
      </c>
      <c r="K79" s="21">
        <f t="shared" si="11"/>
        <v>913.85697135582416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21.392776893698283</v>
      </c>
      <c r="I81" s="21">
        <f>F81*$V$17</f>
        <v>1.759194780394653</v>
      </c>
      <c r="J81" s="21">
        <f t="shared" si="10"/>
        <v>141055.84158182688</v>
      </c>
      <c r="K81" s="21">
        <f t="shared" si="11"/>
        <v>11599.461887905793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11.021081841053723</v>
      </c>
      <c r="I82" s="21">
        <f>F82*$V$15</f>
        <v>1.3082877016427412</v>
      </c>
      <c r="J82" s="21">
        <f t="shared" si="10"/>
        <v>70309.873291549506</v>
      </c>
      <c r="K82" s="21">
        <f t="shared" si="11"/>
        <v>8346.3260556459991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32.67469398616285</v>
      </c>
      <c r="I84" s="21">
        <f>F84*$V$19</f>
        <v>1.9614156466205426</v>
      </c>
      <c r="J84" s="21">
        <f t="shared" si="10"/>
        <v>103239.94335949972</v>
      </c>
      <c r="K84" s="21">
        <f t="shared" si="11"/>
        <v>6197.3477195316655</v>
      </c>
      <c r="L84" s="5" t="s">
        <v>24</v>
      </c>
      <c r="M84" s="1">
        <v>-3159.63</v>
      </c>
      <c r="N84" s="4">
        <v>0.63</v>
      </c>
      <c r="O84" s="4"/>
      <c r="P84" s="15"/>
      <c r="Q84" s="116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20.987786441756842</v>
      </c>
      <c r="I85" s="21">
        <f>F85*$V$17</f>
        <v>1.7258911521323999</v>
      </c>
      <c r="J85" s="21">
        <f t="shared" si="10"/>
        <v>135765.58305657224</v>
      </c>
      <c r="K85" s="21">
        <f t="shared" si="11"/>
        <v>11164.427426002547</v>
      </c>
      <c r="L85" s="5" t="s">
        <v>24</v>
      </c>
      <c r="M85" s="1">
        <v>-6468.79</v>
      </c>
      <c r="N85" s="4">
        <v>1.29</v>
      </c>
      <c r="O85" s="4"/>
      <c r="P85" s="15"/>
      <c r="Q85" s="58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11.497745839636915</v>
      </c>
      <c r="I86" s="21">
        <f>F86*$V$16</f>
        <v>1.364871406959153</v>
      </c>
      <c r="J86" s="21">
        <f t="shared" si="10"/>
        <v>73585.573373676249</v>
      </c>
      <c r="K86" s="21">
        <f t="shared" si="11"/>
        <v>8735.1770045385783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  <c r="V86" s="15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3"/>
      <c r="Q87" s="58"/>
      <c r="R87" s="58"/>
      <c r="T87" s="58"/>
      <c r="U87" s="58"/>
      <c r="V87" s="58"/>
      <c r="W87" s="58"/>
      <c r="X87" s="58"/>
      <c r="Y87" s="58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25.819436809226332</v>
      </c>
      <c r="I88" s="21">
        <f>E88*$V$24</f>
        <v>3.0391263815473333</v>
      </c>
      <c r="J88" s="21">
        <f t="shared" si="10"/>
        <v>165244.39557904852</v>
      </c>
      <c r="K88" s="21">
        <f t="shared" si="11"/>
        <v>19450.408841902932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87"/>
      <c r="V88" s="15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F89*$T$30</f>
        <v>8.0216387402403733</v>
      </c>
      <c r="I89" s="21">
        <f>F89*$V$30</f>
        <v>0.99556452320378996</v>
      </c>
      <c r="J89" s="21">
        <f t="shared" si="10"/>
        <v>51338.48793753839</v>
      </c>
      <c r="K89" s="21">
        <f t="shared" si="11"/>
        <v>6371.6129485042557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44.212211182315244</v>
      </c>
      <c r="I90" s="21">
        <f>F90*$V$20</f>
        <v>3.8223587512493387</v>
      </c>
      <c r="J90" s="21">
        <f t="shared" si="10"/>
        <v>283311.84925627609</v>
      </c>
      <c r="K90" s="21">
        <f t="shared" si="11"/>
        <v>24493.674878005761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19.52813335455124</v>
      </c>
      <c r="I91" s="21">
        <f>F91*$V$17</f>
        <v>1.6058593252705282</v>
      </c>
      <c r="J91" s="21">
        <f t="shared" si="10"/>
        <v>126579.40759086568</v>
      </c>
      <c r="K91" s="21">
        <f t="shared" si="11"/>
        <v>10409.019560471037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28.497818437719911</v>
      </c>
      <c r="I92" s="21">
        <f>F92*$V$23</f>
        <v>3.1236101337086555</v>
      </c>
      <c r="J92" s="21">
        <f t="shared" si="10"/>
        <v>182386.03800140743</v>
      </c>
      <c r="K92" s="21">
        <f t="shared" si="11"/>
        <v>19991.104855735393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26.252946350043977</v>
      </c>
      <c r="I93" s="21">
        <f>F93*$V$25</f>
        <v>1.1145118733509234</v>
      </c>
      <c r="J93" s="21">
        <f t="shared" si="10"/>
        <v>167598.28443975374</v>
      </c>
      <c r="K93" s="21">
        <f t="shared" si="11"/>
        <v>7115.0215092348271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22.068313725490199</v>
      </c>
      <c r="I94" s="21">
        <f>F94*$V$27</f>
        <v>1.6233301960784314</v>
      </c>
      <c r="J94" s="21">
        <f t="shared" si="10"/>
        <v>141237.20784313726</v>
      </c>
      <c r="K94" s="21">
        <f t="shared" si="11"/>
        <v>10389.313254901961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28.338817733990147</v>
      </c>
      <c r="I95" s="21">
        <f>F95*$V$23</f>
        <v>3.1061822660098524</v>
      </c>
      <c r="J95" s="21">
        <f t="shared" si="10"/>
        <v>181368.43349753696</v>
      </c>
      <c r="K95" s="21">
        <f t="shared" si="11"/>
        <v>19879.566502463054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11.225358277444403</v>
      </c>
      <c r="I96" s="21">
        <f>F96*$V$13</f>
        <v>1.4412142605012355</v>
      </c>
      <c r="J96" s="21">
        <f t="shared" si="10"/>
        <v>71842.292975644188</v>
      </c>
      <c r="K96" s="21">
        <f t="shared" si="11"/>
        <v>9223.7712672079069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10.50436207766011</v>
      </c>
      <c r="I97" s="21">
        <f>F97*$V$16</f>
        <v>1.2469490670700958</v>
      </c>
      <c r="J97" s="21">
        <f t="shared" si="10"/>
        <v>67227.917297024702</v>
      </c>
      <c r="K97" s="21">
        <f t="shared" si="11"/>
        <v>7980.4740292486131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19.894660550458713</v>
      </c>
      <c r="I98" s="21">
        <f>F98*$V$18</f>
        <v>1.6359999999999999</v>
      </c>
      <c r="J98" s="21">
        <f t="shared" si="10"/>
        <v>127325.82752293577</v>
      </c>
      <c r="K98" s="21">
        <f t="shared" si="11"/>
        <v>10470.4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F99*$T$29</f>
        <v>21.723300229182584</v>
      </c>
      <c r="I99" s="21">
        <f>F99*$V$29</f>
        <v>3.9716997708174184</v>
      </c>
      <c r="J99" s="21">
        <f t="shared" si="10"/>
        <v>139029.12146676853</v>
      </c>
      <c r="K99" s="21">
        <f t="shared" si="11"/>
        <v>25418.878533231476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8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41.17657571772957</v>
      </c>
      <c r="I100" s="21">
        <f>F100*$V$21</f>
        <v>3.559913434144204</v>
      </c>
      <c r="J100" s="21">
        <f>H100*(-M100)</f>
        <v>263530.08459346922</v>
      </c>
      <c r="K100" s="21">
        <f>I100*(-$M100)</f>
        <v>22783.445978522905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U100" s="15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22.770856319077364</v>
      </c>
      <c r="I102" s="21">
        <f>E102*$V$24</f>
        <v>2.6802873618452669</v>
      </c>
      <c r="J102" s="21">
        <f>H102*(-$M102)</f>
        <v>145733.48044209514</v>
      </c>
      <c r="K102" s="21">
        <f>I102*(-$M102)</f>
        <v>17153.839115809707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11.393561595481819</v>
      </c>
      <c r="I104" s="21">
        <f>F104*$V$13</f>
        <v>1.4628097423226263</v>
      </c>
      <c r="J104" s="21">
        <f>H104*(-$M104)</f>
        <v>72918.794211083645</v>
      </c>
      <c r="K104" s="21">
        <f>I104*(-$M104)</f>
        <v>9361.9823508648078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21.536334862385321</v>
      </c>
      <c r="I106" s="21">
        <f>F106*$V$18</f>
        <v>1.7709999999999999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10.880237014624306</v>
      </c>
      <c r="I107" s="21">
        <f>F107*$V$16</f>
        <v>1.2915683308119013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18.459715596330273</v>
      </c>
      <c r="I109" s="21">
        <f>F109*$V$18</f>
        <v>1.518</v>
      </c>
      <c r="J109" s="21">
        <f t="shared" si="14"/>
        <v>118142.17981651374</v>
      </c>
      <c r="K109" s="21">
        <f t="shared" si="15"/>
        <v>9715.2000000000007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F110*$T$32</f>
        <v>10.349990441598164</v>
      </c>
      <c r="I110" s="21">
        <f>F110*$V$32</f>
        <v>1.1366507359969413</v>
      </c>
      <c r="J110" s="21">
        <f t="shared" si="14"/>
        <v>66239.938826228245</v>
      </c>
      <c r="K110" s="21">
        <f t="shared" si="15"/>
        <v>7274.5647103804249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$F113*$T$31</f>
        <v>14.409870967741936</v>
      </c>
      <c r="I113" s="21">
        <f>$F113*$V$31</f>
        <v>1.5414285714285714</v>
      </c>
      <c r="J113" s="21">
        <f t="shared" si="14"/>
        <v>92223.174193548388</v>
      </c>
      <c r="K113" s="21">
        <f t="shared" si="15"/>
        <v>9865.1428571428569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11.225358277444403</v>
      </c>
      <c r="I115" s="21">
        <f>F115*$V$13</f>
        <v>1.4412142605012355</v>
      </c>
      <c r="J115" s="21">
        <f t="shared" si="14"/>
        <v>71842.292975644188</v>
      </c>
      <c r="K115" s="21">
        <f t="shared" si="15"/>
        <v>9223.7712672079069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23.02301585776069</v>
      </c>
      <c r="I116" s="21">
        <f>E116*$V$24</f>
        <v>2.7099682844786166</v>
      </c>
      <c r="J116" s="21">
        <f t="shared" si="14"/>
        <v>147347.3014896684</v>
      </c>
      <c r="K116" s="21">
        <f t="shared" si="15"/>
        <v>17343.797020663147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10.873524962178518</v>
      </c>
      <c r="I119" s="21">
        <f>F119*$V$16</f>
        <v>1.2907715582450834</v>
      </c>
      <c r="J119" s="21">
        <f t="shared" si="14"/>
        <v>69590.559757942508</v>
      </c>
      <c r="K119" s="21">
        <f t="shared" si="15"/>
        <v>8260.9379727685337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7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24.598951304901341</v>
      </c>
      <c r="I121" s="21">
        <f>F121*$V$17</f>
        <v>2.0228485041374924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$F122*$T$31</f>
        <v>14.049290322580646</v>
      </c>
      <c r="I122" s="21">
        <f>$F122*$V$31</f>
        <v>1.5028571428571429</v>
      </c>
      <c r="J122" s="21">
        <f t="shared" ref="J122:J123" si="16">H122*(-$M122)</f>
        <v>89915.458064516133</v>
      </c>
      <c r="K122" s="21">
        <f t="shared" ref="K122:K123" si="17">I122*(-$M122)</f>
        <v>9618.2857142857138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T123" s="25"/>
      <c r="U123" s="15"/>
    </row>
    <row r="124" spans="1:22">
      <c r="A124" s="3"/>
      <c r="B124" s="66"/>
      <c r="C124" s="66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6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0.27194449305534363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  <c r="R154" s="15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R158" s="15"/>
    </row>
    <row r="159" spans="1:18">
      <c r="R159" s="15"/>
    </row>
    <row r="160" spans="1:18">
      <c r="R160" s="15"/>
    </row>
    <row r="161" spans="14:18">
      <c r="R161" s="15"/>
    </row>
    <row r="167" spans="14:18">
      <c r="N167">
        <f>SUMIF(C:C,"=医药",J:J)/SUMIF(C:C,"=医药",M:M)*-1</f>
        <v>31.184989286480302</v>
      </c>
    </row>
  </sheetData>
  <autoFilter ref="A1:W123" xr:uid="{00000000-0009-0000-0000-000000000000}"/>
  <sortState ref="A2:F53">
    <sortCondition ref="A1"/>
  </sortState>
  <mergeCells count="6">
    <mergeCell ref="Z22:Z23"/>
    <mergeCell ref="Z26:Z27"/>
    <mergeCell ref="Z36:Z38"/>
    <mergeCell ref="Z20:Z21"/>
    <mergeCell ref="Z15:Z16"/>
    <mergeCell ref="Z17:Z18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tabSelected="1" topLeftCell="B1" zoomScale="90" zoomScaleNormal="90" workbookViewId="0">
      <pane ySplit="1" topLeftCell="A2" activePane="bottomLeft" state="frozen"/>
      <selection pane="bottomLeft" activeCell="L17" sqref="L17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19"/>
      <c r="N1" s="119"/>
    </row>
    <row r="2" spans="1:15">
      <c r="A2" s="133" t="str">
        <f>"A股"&amp;" , "&amp;TEXT(SUM(E2:E19),"0.00%")</f>
        <v>A股 , 51.46%</v>
      </c>
      <c r="B2" s="133" t="str">
        <f>"大盘股"&amp;" , "&amp;TEXT(SUM(E2:E4),"0.00%")</f>
        <v>大盘股 , 4.73%</v>
      </c>
      <c r="C2" s="121" t="str">
        <f>"上证50"&amp;" , "&amp;TEXT(SUM(E2:E2),"0.00%")</f>
        <v>上证50 , 0.61%</v>
      </c>
      <c r="D2" s="121" t="s">
        <v>7551</v>
      </c>
      <c r="E2" s="123">
        <f t="shared" ref="E2:E32" si="0">F2/$F$33</f>
        <v>6.0936206978258901E-3</v>
      </c>
      <c r="F2" s="35">
        <f t="shared" ref="F2:F24" si="1">SUM(G2:I2)</f>
        <v>7846.2</v>
      </c>
      <c r="G2" s="35">
        <v>7846.2</v>
      </c>
      <c r="H2" s="35"/>
      <c r="I2" s="35"/>
      <c r="K2" s="119">
        <f>K4+K6+K8+K10</f>
        <v>1204087.49</v>
      </c>
      <c r="M2" s="119"/>
      <c r="N2" s="119"/>
    </row>
    <row r="3" spans="1:15">
      <c r="A3" s="133"/>
      <c r="B3" s="134"/>
      <c r="C3" s="133" t="str">
        <f>"沪深300"&amp;" , "&amp;TEXT(SUM(E3:E4),"0.00%")</f>
        <v>沪深300 , 4.12%</v>
      </c>
      <c r="D3" s="121" t="s">
        <v>7552</v>
      </c>
      <c r="E3" s="123">
        <f t="shared" si="0"/>
        <v>2.2884899999833799E-2</v>
      </c>
      <c r="F3" s="35">
        <f t="shared" si="1"/>
        <v>29466.799999999999</v>
      </c>
      <c r="G3" s="35">
        <v>29466.799999999999</v>
      </c>
      <c r="I3" s="35"/>
      <c r="K3" s="119" t="s">
        <v>7447</v>
      </c>
      <c r="M3" s="119"/>
      <c r="N3" s="34"/>
    </row>
    <row r="4" spans="1:15">
      <c r="A4" s="133"/>
      <c r="B4" s="134"/>
      <c r="C4" s="134"/>
      <c r="D4" s="121" t="s">
        <v>7553</v>
      </c>
      <c r="E4" s="123">
        <f t="shared" si="0"/>
        <v>1.8324928270530848E-2</v>
      </c>
      <c r="F4" s="35">
        <f t="shared" si="1"/>
        <v>23595.34</v>
      </c>
      <c r="H4" s="35">
        <v>23595.34</v>
      </c>
      <c r="K4" s="119">
        <v>800000</v>
      </c>
      <c r="M4" s="119"/>
      <c r="N4" s="34"/>
    </row>
    <row r="5" spans="1:15">
      <c r="A5" s="133"/>
      <c r="B5" s="133" t="str">
        <f>"中小盘股"&amp;" , "&amp;TEXT(SUM(E5:E9),"0.00%")</f>
        <v>中小盘股 , 20.05%</v>
      </c>
      <c r="C5" s="133" t="str">
        <f>"中证500"&amp;" , "&amp;TEXT(SUM(E5:E6),"0.00%")</f>
        <v>中证500 , 15.13%</v>
      </c>
      <c r="D5" s="121" t="s">
        <v>7555</v>
      </c>
      <c r="E5" s="123">
        <f t="shared" si="0"/>
        <v>0.13831218899814032</v>
      </c>
      <c r="F5" s="35">
        <f t="shared" si="1"/>
        <v>178092</v>
      </c>
      <c r="G5" s="35">
        <v>178092</v>
      </c>
      <c r="I5" s="35"/>
      <c r="K5" s="119" t="s">
        <v>7444</v>
      </c>
      <c r="M5" s="119"/>
      <c r="N5" s="34"/>
    </row>
    <row r="6" spans="1:15">
      <c r="A6" s="133"/>
      <c r="B6" s="133"/>
      <c r="C6" s="133"/>
      <c r="D6" s="121" t="s">
        <v>7554</v>
      </c>
      <c r="E6" s="123">
        <f t="shared" si="0"/>
        <v>1.3000104705710084E-2</v>
      </c>
      <c r="F6" s="35">
        <f t="shared" si="1"/>
        <v>16739.05</v>
      </c>
      <c r="G6" s="35"/>
      <c r="H6" s="35">
        <v>16739.05</v>
      </c>
      <c r="I6" s="35"/>
      <c r="K6" s="119">
        <v>100000</v>
      </c>
      <c r="N6" s="124"/>
      <c r="O6" s="124"/>
    </row>
    <row r="7" spans="1:15">
      <c r="A7" s="133"/>
      <c r="B7" s="133"/>
      <c r="C7" s="121" t="str">
        <f>"中证1000"&amp;" , "&amp;TEXT(SUM(E7:E7),"0.00%")</f>
        <v>中证1000 , 3.11%</v>
      </c>
      <c r="D7" s="121" t="s">
        <v>7556</v>
      </c>
      <c r="E7" s="123">
        <f t="shared" si="0"/>
        <v>3.1082265153099364E-2</v>
      </c>
      <c r="F7" s="35">
        <f t="shared" si="1"/>
        <v>40021.800000000003</v>
      </c>
      <c r="G7" s="35">
        <v>40021.800000000003</v>
      </c>
      <c r="H7" s="35"/>
      <c r="I7" s="35"/>
      <c r="K7" s="119" t="s">
        <v>7445</v>
      </c>
      <c r="O7" s="125"/>
    </row>
    <row r="8" spans="1:15">
      <c r="A8" s="133"/>
      <c r="B8" s="133"/>
      <c r="C8" s="133" t="str">
        <f>"创业板"&amp;" , "&amp;TEXT(SUM(E8:E9),"0.00%")</f>
        <v>创业板 , 1.81%</v>
      </c>
      <c r="D8" s="121" t="s">
        <v>7557</v>
      </c>
      <c r="E8" s="123">
        <f t="shared" si="0"/>
        <v>1.1603523759536726E-2</v>
      </c>
      <c r="F8" s="35">
        <f t="shared" si="1"/>
        <v>14940.8</v>
      </c>
      <c r="G8" s="35">
        <v>14940.8</v>
      </c>
      <c r="I8" s="35"/>
      <c r="K8" s="119">
        <v>16634.060000000001</v>
      </c>
      <c r="N8" s="124"/>
      <c r="O8" s="124"/>
    </row>
    <row r="9" spans="1:15">
      <c r="A9" s="133"/>
      <c r="B9" s="133"/>
      <c r="C9" s="133"/>
      <c r="D9" s="121" t="s">
        <v>7558</v>
      </c>
      <c r="E9" s="123">
        <f t="shared" si="0"/>
        <v>6.4986349969663928E-3</v>
      </c>
      <c r="F9" s="35">
        <f t="shared" si="1"/>
        <v>8367.7000000000007</v>
      </c>
      <c r="G9" s="35"/>
      <c r="H9" s="126">
        <v>8367.7000000000007</v>
      </c>
      <c r="I9" s="35"/>
      <c r="K9" s="119" t="s">
        <v>7448</v>
      </c>
      <c r="O9" s="125"/>
    </row>
    <row r="10" spans="1:15">
      <c r="A10" s="133"/>
      <c r="B10" s="121" t="str">
        <f>"红利价值"&amp;" , "&amp;TEXT(SUM(E10:E10),"0.00%")</f>
        <v>红利价值 , 6.14%</v>
      </c>
      <c r="C10" s="121" t="str">
        <f>"中证红利"&amp;" , "&amp;TEXT(SUM(E10:E10),"0.00%")</f>
        <v>中证红利 , 6.14%</v>
      </c>
      <c r="D10" s="121" t="s">
        <v>7559</v>
      </c>
      <c r="E10" s="123">
        <f t="shared" si="0"/>
        <v>6.1445849324149565E-2</v>
      </c>
      <c r="F10" s="35">
        <f t="shared" si="1"/>
        <v>79118.22</v>
      </c>
      <c r="G10" s="35"/>
      <c r="H10" s="35">
        <v>79118.22</v>
      </c>
      <c r="I10" s="35"/>
      <c r="K10" s="119">
        <v>287453.43</v>
      </c>
      <c r="N10" s="124"/>
      <c r="O10" s="124"/>
    </row>
    <row r="11" spans="1:15">
      <c r="A11" s="133"/>
      <c r="B11" s="133" t="str">
        <f>"行业股"&amp;" , "&amp;TEXT(SUM(E11:E19),"0.00%")</f>
        <v>行业股 , 20.53%</v>
      </c>
      <c r="C11" s="121" t="str">
        <f>"养老产业"&amp;" , "&amp;TEXT(SUM(E11:E11),"0.00%")</f>
        <v>养老产业 , 5.00%</v>
      </c>
      <c r="D11" s="121" t="s">
        <v>7560</v>
      </c>
      <c r="E11" s="123">
        <f t="shared" si="0"/>
        <v>5.0043147419783982E-2</v>
      </c>
      <c r="F11" s="35">
        <f t="shared" si="1"/>
        <v>64436</v>
      </c>
      <c r="G11" s="35"/>
      <c r="H11" s="35">
        <v>64436</v>
      </c>
      <c r="I11" s="35"/>
      <c r="O11" s="125"/>
    </row>
    <row r="12" spans="1:15">
      <c r="A12" s="133"/>
      <c r="B12" s="133"/>
      <c r="C12" s="133" t="str">
        <f>"全指医药"&amp;" , "&amp;TEXT(SUM(E12:E13),"0.00%")</f>
        <v>全指医药 , 4.19%</v>
      </c>
      <c r="D12" s="121" t="s">
        <v>7561</v>
      </c>
      <c r="E12" s="123">
        <f t="shared" si="0"/>
        <v>1.5153670191427542E-2</v>
      </c>
      <c r="F12" s="35">
        <f t="shared" si="1"/>
        <v>19512</v>
      </c>
      <c r="G12" s="35">
        <v>19512</v>
      </c>
      <c r="I12" s="35"/>
      <c r="N12" s="124"/>
      <c r="O12" s="124"/>
    </row>
    <row r="13" spans="1:15">
      <c r="A13" s="133"/>
      <c r="B13" s="133"/>
      <c r="C13" s="133"/>
      <c r="D13" s="121" t="s">
        <v>7562</v>
      </c>
      <c r="E13" s="123">
        <f t="shared" si="0"/>
        <v>2.6766513551328003E-2</v>
      </c>
      <c r="F13" s="35">
        <f t="shared" si="1"/>
        <v>34464.800000000003</v>
      </c>
      <c r="H13" s="35">
        <v>34464.800000000003</v>
      </c>
      <c r="O13" s="125"/>
    </row>
    <row r="14" spans="1:15">
      <c r="A14" s="133"/>
      <c r="B14" s="133"/>
      <c r="C14" s="121" t="str">
        <f>"中证传媒"&amp;" , "&amp;TEXT(SUM(E14:E14),"0.00%")</f>
        <v>中证传媒 , 2.33%</v>
      </c>
      <c r="D14" s="121" t="s">
        <v>7563</v>
      </c>
      <c r="E14" s="123">
        <f t="shared" si="0"/>
        <v>2.3252247580837552E-2</v>
      </c>
      <c r="F14" s="35">
        <f t="shared" si="1"/>
        <v>29939.8</v>
      </c>
      <c r="G14" s="35">
        <v>29939.8</v>
      </c>
      <c r="H14" s="35"/>
      <c r="I14" s="35"/>
      <c r="N14" s="124"/>
      <c r="O14" s="124"/>
    </row>
    <row r="15" spans="1:15">
      <c r="A15" s="133"/>
      <c r="B15" s="133"/>
      <c r="C15" s="133" t="str">
        <f>"中证环保"&amp;" , "&amp;TEXT(SUM(E15:E16),"0.00%")</f>
        <v>中证环保 , 3.68%</v>
      </c>
      <c r="D15" s="121" t="s">
        <v>7564</v>
      </c>
      <c r="E15" s="123">
        <f t="shared" si="0"/>
        <v>2.2128925083662439E-2</v>
      </c>
      <c r="F15" s="35">
        <f t="shared" si="1"/>
        <v>28493.4</v>
      </c>
      <c r="G15" s="35">
        <v>28493.4</v>
      </c>
      <c r="K15" s="127"/>
      <c r="O15" s="125"/>
    </row>
    <row r="16" spans="1:15">
      <c r="A16" s="133"/>
      <c r="B16" s="133"/>
      <c r="C16" s="133"/>
      <c r="D16" s="121" t="s">
        <v>7565</v>
      </c>
      <c r="E16" s="123">
        <f t="shared" si="0"/>
        <v>1.4707362296342074E-2</v>
      </c>
      <c r="F16" s="35">
        <f t="shared" si="1"/>
        <v>18937.330000000002</v>
      </c>
      <c r="G16" s="35"/>
      <c r="H16" s="35">
        <v>8423.02</v>
      </c>
      <c r="I16" s="35">
        <v>10514.31</v>
      </c>
      <c r="N16" s="124"/>
      <c r="O16" s="124"/>
    </row>
    <row r="17" spans="1:15">
      <c r="A17" s="133"/>
      <c r="B17" s="133"/>
      <c r="C17" s="121" t="str">
        <f>"全指消费"&amp;" , "&amp;TEXT(SUM(E17:E17),"0.00%")</f>
        <v>全指消费 , 0.76%</v>
      </c>
      <c r="D17" s="121" t="s">
        <v>7566</v>
      </c>
      <c r="E17" s="123">
        <f t="shared" si="0"/>
        <v>7.5879254201466117E-3</v>
      </c>
      <c r="F17" s="35">
        <f t="shared" si="1"/>
        <v>9770.2800000000007</v>
      </c>
      <c r="G17" s="35"/>
      <c r="H17" s="126">
        <v>9770.2800000000007</v>
      </c>
      <c r="I17" s="35"/>
      <c r="O17" s="125"/>
    </row>
    <row r="18" spans="1:15">
      <c r="A18" s="133"/>
      <c r="B18" s="133"/>
      <c r="C18" s="121" t="str">
        <f>"金融地产"&amp;" , "&amp;TEXT(SUM(E18:E18),"0.00%")</f>
        <v>金融地产 , 1.83%</v>
      </c>
      <c r="D18" s="121" t="s">
        <v>7567</v>
      </c>
      <c r="E18" s="123">
        <f t="shared" si="0"/>
        <v>1.8341610355181927E-2</v>
      </c>
      <c r="F18" s="35">
        <f t="shared" si="1"/>
        <v>23616.82</v>
      </c>
      <c r="G18" s="35"/>
      <c r="H18" s="35">
        <v>23616.82</v>
      </c>
      <c r="I18" s="35"/>
      <c r="N18" s="124"/>
    </row>
    <row r="19" spans="1:15">
      <c r="A19" s="133"/>
      <c r="B19" s="133"/>
      <c r="C19" s="121" t="str">
        <f>"证券公司"&amp;" , "&amp;TEXT(SUM(E19:E19),"0.00%")</f>
        <v>证券公司 , 2.74%</v>
      </c>
      <c r="D19" s="121" t="s">
        <v>7568</v>
      </c>
      <c r="E19" s="123">
        <f t="shared" si="0"/>
        <v>2.7351396137488521E-2</v>
      </c>
      <c r="F19" s="35">
        <f t="shared" si="1"/>
        <v>35217.9</v>
      </c>
      <c r="G19" s="35">
        <v>35217.9</v>
      </c>
      <c r="H19" s="35"/>
      <c r="I19" s="35"/>
      <c r="O19" s="125"/>
    </row>
    <row r="20" spans="1:15">
      <c r="A20" s="133" t="str">
        <f>"海外新兴"&amp;" , "&amp;TEXT(SUM(E20:E21),"0.00%")</f>
        <v>海外新兴 , 1.63%</v>
      </c>
      <c r="B20" s="121" t="str">
        <f>"香港"&amp;" , "&amp;TEXT(SUM(E20:E20),"0.00%")</f>
        <v>香港 , 0.54%</v>
      </c>
      <c r="C20" s="121" t="str">
        <f>"恒生"&amp;" , "&amp;TEXT(SUM(E20:E20),"0.00%")</f>
        <v>恒生 , 0.54%</v>
      </c>
      <c r="D20" s="121" t="s">
        <v>7569</v>
      </c>
      <c r="E20" s="123">
        <f t="shared" si="0"/>
        <v>5.3807722323376984E-3</v>
      </c>
      <c r="F20" s="35">
        <f t="shared" si="1"/>
        <v>6928.33</v>
      </c>
      <c r="G20" s="35"/>
      <c r="H20" s="126">
        <v>6928.33</v>
      </c>
      <c r="I20" s="35"/>
      <c r="N20" s="124"/>
    </row>
    <row r="21" spans="1:15" ht="28.5">
      <c r="A21" s="133"/>
      <c r="B21" s="121" t="str">
        <f>"海外互联"&amp;" , "&amp;TEXT(SUM(E21:E21),"0.00%")</f>
        <v>海外互联 , 1.09%</v>
      </c>
      <c r="C21" s="121" t="str">
        <f>"海外互联网"&amp;" , "&amp;TEXT(SUM(E21:E21),"0.00%")</f>
        <v>海外互联网 , 1.09%</v>
      </c>
      <c r="D21" s="121" t="s">
        <v>7570</v>
      </c>
      <c r="E21" s="123">
        <f t="shared" si="0"/>
        <v>1.0940752613336319E-2</v>
      </c>
      <c r="F21" s="35">
        <f t="shared" si="1"/>
        <v>14087.41</v>
      </c>
      <c r="G21" s="35"/>
      <c r="H21" s="126">
        <v>14087.41</v>
      </c>
      <c r="I21" s="35"/>
      <c r="O21" s="125"/>
    </row>
    <row r="22" spans="1:15">
      <c r="A22" s="121" t="str">
        <f>"海外成熟"&amp;" , "&amp;TEXT(SUM(E22:E22),"0.00%")</f>
        <v>海外成熟 , 1.74%</v>
      </c>
      <c r="B22" s="121" t="str">
        <f>"海外成熟"&amp;" , "&amp;TEXT(SUM(E22:E22),"0.00%")</f>
        <v>海外成熟 , 1.74%</v>
      </c>
      <c r="C22" s="121" t="str">
        <f>"德国30"&amp;" , "&amp;TEXT(SUM(E22:E22),"0.00%")</f>
        <v>德国30 , 1.74%</v>
      </c>
      <c r="D22" s="121" t="s">
        <v>7571</v>
      </c>
      <c r="E22" s="123">
        <f t="shared" si="0"/>
        <v>1.7440715653354543E-2</v>
      </c>
      <c r="F22" s="35">
        <f t="shared" si="1"/>
        <v>22456.82</v>
      </c>
      <c r="G22" s="35"/>
      <c r="H22" s="126">
        <v>22456.82</v>
      </c>
      <c r="I22" s="35"/>
      <c r="N22" s="124"/>
      <c r="O22" s="124"/>
    </row>
    <row r="23" spans="1:15">
      <c r="A23" s="133" t="str">
        <f>"商品"&amp;" , "&amp;TEXT(SUM(E23:E25),"0.00%")</f>
        <v>商品 , 3.32%</v>
      </c>
      <c r="B23" s="121" t="str">
        <f>"原油"&amp;" , "&amp;TEXT(SUM(E23:E23),"0.00%")</f>
        <v>原油 , 1.52%</v>
      </c>
      <c r="C23" s="121" t="str">
        <f>"原油"&amp;" , "&amp;TEXT(SUM(E23:E23),"0.00%")</f>
        <v>原油 , 1.52%</v>
      </c>
      <c r="D23" s="121" t="s">
        <v>7572</v>
      </c>
      <c r="E23" s="123">
        <f t="shared" si="0"/>
        <v>1.5224087538509169E-2</v>
      </c>
      <c r="F23" s="35">
        <f t="shared" si="1"/>
        <v>19602.669999999998</v>
      </c>
      <c r="G23" s="35"/>
      <c r="H23" s="126">
        <v>19602.669999999998</v>
      </c>
      <c r="I23" s="35"/>
      <c r="O23" s="125"/>
    </row>
    <row r="24" spans="1:15">
      <c r="A24" s="133"/>
      <c r="B24" s="121" t="str">
        <f>"黄金"&amp;" , "&amp;TEXT(SUM(E24:E24),"0.00%")</f>
        <v>黄金 , 0.52%</v>
      </c>
      <c r="C24" s="121" t="str">
        <f>"黄金"&amp;" , "&amp;TEXT(SUM(E24:E24),"0.00%")</f>
        <v>黄金 , 0.52%</v>
      </c>
      <c r="D24" s="121" t="s">
        <v>7573</v>
      </c>
      <c r="E24" s="123">
        <f t="shared" si="0"/>
        <v>5.2189762036896825E-3</v>
      </c>
      <c r="F24" s="35">
        <f t="shared" si="1"/>
        <v>6720</v>
      </c>
      <c r="G24" s="35">
        <v>6720</v>
      </c>
      <c r="H24" s="35"/>
      <c r="I24" s="35"/>
      <c r="N24" s="124"/>
      <c r="O24" s="124"/>
    </row>
    <row r="25" spans="1:15">
      <c r="A25" s="133"/>
      <c r="B25" s="121" t="str">
        <f>"白银"&amp;" , "&amp;TEXT(SUM(E25:E25),"0.00%")</f>
        <v>白银 , 1.27%</v>
      </c>
      <c r="C25" s="121" t="str">
        <f>"白银"&amp;" , "&amp;TEXT(SUM(E25:E25),"0.00%")</f>
        <v>白银 , 1.27%</v>
      </c>
      <c r="D25" s="121" t="s">
        <v>7574</v>
      </c>
      <c r="E25" s="123">
        <f t="shared" si="0"/>
        <v>1.2736810462767395E-2</v>
      </c>
      <c r="F25" s="35">
        <v>16400.03</v>
      </c>
      <c r="G25" s="35"/>
      <c r="H25" s="35"/>
      <c r="I25" s="35"/>
      <c r="O25" s="125"/>
    </row>
    <row r="26" spans="1:15">
      <c r="A26" s="133" t="str">
        <f>"债券"&amp;" , "&amp;TEXT(SUM(E26:E29),"0.00%")</f>
        <v>债券 , 4.47%</v>
      </c>
      <c r="B26" s="133" t="str">
        <f>"国内债券"&amp;" , "&amp;TEXT(SUM(E26:E28),"0.00%")</f>
        <v>国内债券 , 3.93%</v>
      </c>
      <c r="C26" s="133" t="str">
        <f>"可转债"&amp;" , "&amp;TEXT(SUM(E26:E28),"0.00%")</f>
        <v>可转债 , 3.93%</v>
      </c>
      <c r="D26" s="121" t="s">
        <v>7575</v>
      </c>
      <c r="E26" s="123">
        <f t="shared" si="0"/>
        <v>2.8280179743404372E-2</v>
      </c>
      <c r="F26" s="35">
        <f t="shared" ref="F26:F31" si="2">SUM(G26:I26)</f>
        <v>36413.81</v>
      </c>
      <c r="G26" s="35"/>
      <c r="H26" s="126">
        <v>36413.81</v>
      </c>
      <c r="I26" s="35"/>
      <c r="J26" s="123"/>
      <c r="N26" s="124"/>
      <c r="O26" s="124"/>
    </row>
    <row r="27" spans="1:15">
      <c r="A27" s="133"/>
      <c r="B27" s="133"/>
      <c r="C27" s="133"/>
      <c r="D27" s="121" t="s">
        <v>7576</v>
      </c>
      <c r="E27" s="123">
        <f t="shared" si="0"/>
        <v>5.7047603726491907E-3</v>
      </c>
      <c r="F27" s="35">
        <f t="shared" si="2"/>
        <v>7345.5</v>
      </c>
      <c r="G27" s="35"/>
      <c r="H27" s="126">
        <v>7345.5</v>
      </c>
      <c r="I27" s="35"/>
      <c r="J27" s="123"/>
      <c r="O27" s="125"/>
    </row>
    <row r="28" spans="1:15">
      <c r="A28" s="133"/>
      <c r="B28" s="133"/>
      <c r="C28" s="133"/>
      <c r="D28" s="121" t="s">
        <v>7577</v>
      </c>
      <c r="E28" s="123">
        <f t="shared" si="0"/>
        <v>5.2700864453511138E-3</v>
      </c>
      <c r="F28" s="35">
        <f t="shared" si="2"/>
        <v>6785.81</v>
      </c>
      <c r="G28" s="35"/>
      <c r="H28" s="126">
        <v>6785.81</v>
      </c>
      <c r="I28" s="35"/>
      <c r="N28" s="124"/>
      <c r="O28" s="124"/>
    </row>
    <row r="29" spans="1:15">
      <c r="A29" s="133"/>
      <c r="B29" s="121" t="str">
        <f>"海外债券"&amp;" , "&amp;TEXT(SUM(E29:E29),"0.00%")</f>
        <v>海外债券 , 0.55%</v>
      </c>
      <c r="C29" s="121" t="str">
        <f>"美元债"&amp;" , "&amp;TEXT(SUM(E29:E29),"0.00%")</f>
        <v>美元债 , 0.55%</v>
      </c>
      <c r="D29" s="121" t="s">
        <v>7578</v>
      </c>
      <c r="E29" s="123">
        <f t="shared" si="0"/>
        <v>5.4661009400012979E-3</v>
      </c>
      <c r="F29" s="35">
        <f t="shared" si="2"/>
        <v>7038.2</v>
      </c>
      <c r="G29" s="35"/>
      <c r="H29" s="126">
        <v>7038.2</v>
      </c>
      <c r="I29" s="35"/>
      <c r="O29" s="125"/>
    </row>
    <row r="30" spans="1:15">
      <c r="A30" s="133" t="str">
        <f>"现金"&amp;" , "&amp;TEXT(SUM(E30:E31),"0.00%")</f>
        <v>现金 , 15.05%</v>
      </c>
      <c r="B30" s="121" t="str">
        <f>"低风险理财"&amp;" , "&amp;TEXT(SUM(E30:E30),"0.00%")</f>
        <v>低风险理财 , 7.01%</v>
      </c>
      <c r="C30" s="121" t="str">
        <f>"货币基金"&amp;" , "&amp;TEXT(SUM(E30:E30),"0.00%")</f>
        <v>货币基金 , 7.01%</v>
      </c>
      <c r="D30" s="121" t="s">
        <v>7579</v>
      </c>
      <c r="E30" s="123">
        <f t="shared" si="0"/>
        <v>7.0052803147067494E-2</v>
      </c>
      <c r="F30" s="35">
        <f t="shared" si="2"/>
        <v>90200.61</v>
      </c>
      <c r="G30" s="35"/>
      <c r="H30" s="35">
        <f>89600+600.61</f>
        <v>90200.61</v>
      </c>
      <c r="I30" s="35"/>
      <c r="N30" s="124"/>
      <c r="O30" s="124"/>
    </row>
    <row r="31" spans="1:15">
      <c r="A31" s="133"/>
      <c r="B31" s="121" t="str">
        <f>"中低风险理财"&amp;" , "&amp;TEXT(SUM(E31:E31),"0.00%")</f>
        <v>中低风险理财 , 8.05%</v>
      </c>
      <c r="C31" s="121" t="str">
        <f>"地产定期"&amp;" , "&amp;TEXT(SUM(E31:E31),"0.00%")</f>
        <v>地产定期 , 8.05%</v>
      </c>
      <c r="D31" s="121" t="s">
        <v>7441</v>
      </c>
      <c r="E31" s="123">
        <f t="shared" si="0"/>
        <v>8.0459216473549269E-2</v>
      </c>
      <c r="F31" s="35">
        <f t="shared" si="2"/>
        <v>103600</v>
      </c>
      <c r="G31" s="35"/>
      <c r="H31" s="35">
        <f>100000+3600</f>
        <v>103600</v>
      </c>
      <c r="I31" s="35"/>
      <c r="O31" s="125"/>
    </row>
    <row r="32" spans="1:15">
      <c r="A32" s="121" t="str">
        <f>"冻结资金"&amp;" , "&amp;TEXT(SUM(E32:E32),"0.00%")</f>
        <v>冻结资金 , 22.32%</v>
      </c>
      <c r="B32" s="121" t="str">
        <f>"住房公积金"&amp;" , "&amp;TEXT(SUM(E32:E32),"0.00%")</f>
        <v>住房公积金 , 22.32%</v>
      </c>
      <c r="C32" s="121" t="str">
        <f>"公积金"&amp;" , "&amp;TEXT(SUM(E32:E32),"0.00%")</f>
        <v>公积金 , 22.32%</v>
      </c>
      <c r="D32" s="121" t="s">
        <v>7580</v>
      </c>
      <c r="E32" s="123">
        <f t="shared" si="0"/>
        <v>0.22324592423199074</v>
      </c>
      <c r="F32" s="35">
        <f>K10</f>
        <v>287453.43</v>
      </c>
      <c r="G32" s="35"/>
      <c r="H32" s="35"/>
      <c r="I32" s="35"/>
      <c r="N32" s="124"/>
      <c r="O32" s="124"/>
    </row>
    <row r="33" spans="1:16">
      <c r="C33" s="119"/>
      <c r="D33" s="119" t="s">
        <v>7424</v>
      </c>
      <c r="E33" s="125">
        <f>SUM(E2:E32)</f>
        <v>1</v>
      </c>
      <c r="F33" s="35">
        <f>SUM(F2:F32)</f>
        <v>1287608.8600000001</v>
      </c>
      <c r="H33" s="119"/>
      <c r="I33" s="119"/>
      <c r="O33" s="125"/>
    </row>
    <row r="34" spans="1:16">
      <c r="D34" s="119" t="s">
        <v>7442</v>
      </c>
      <c r="E34" s="128">
        <f>F33/$K$2-1</f>
        <v>6.9364868162528737E-2</v>
      </c>
      <c r="H34" s="119"/>
      <c r="I34" s="119"/>
      <c r="N34" s="124"/>
      <c r="O34" s="124"/>
    </row>
    <row r="35" spans="1:16">
      <c r="P35" s="125"/>
    </row>
    <row r="36" spans="1:16">
      <c r="A36" s="129"/>
      <c r="O36" s="124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5"/>
    </row>
    <row r="38" spans="1:16">
      <c r="A38" s="119" t="str">
        <f>C2</f>
        <v>上证50 , 0.61%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7846.2</v>
      </c>
      <c r="D38" s="34">
        <f t="shared" ref="D38:D62" si="3">C38/B38-1</f>
        <v>0.21769413780420233</v>
      </c>
      <c r="E38" s="34">
        <f>B38/$K$2</f>
        <v>5.351347018811731E-3</v>
      </c>
      <c r="F38" s="34">
        <f>(C38-B38)/$K$2</f>
        <v>1.1649568753513086E-3</v>
      </c>
      <c r="O38" s="124"/>
    </row>
    <row r="39" spans="1:16">
      <c r="A39" s="119" t="str">
        <f>C3</f>
        <v>沪深300 , 4.12%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53062.14</v>
      </c>
      <c r="D39" s="34">
        <f t="shared" si="3"/>
        <v>0.18745501906654494</v>
      </c>
      <c r="E39" s="34">
        <f t="shared" ref="E39:E61" si="4">B39/$K$2</f>
        <v>3.7111588959370383E-2</v>
      </c>
      <c r="F39" s="34">
        <f t="shared" ref="F39:F61" si="5">(C39-B39)/$K$2</f>
        <v>6.9567536159685544E-3</v>
      </c>
      <c r="P39" s="125"/>
    </row>
    <row r="40" spans="1:16">
      <c r="A40" s="119" t="str">
        <f>C5</f>
        <v>中证500 , 15.13%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194831.05</v>
      </c>
      <c r="D40" s="34">
        <f t="shared" si="3"/>
        <v>8.2844042341791768E-2</v>
      </c>
      <c r="E40" s="34">
        <f t="shared" si="4"/>
        <v>0.14942876783812445</v>
      </c>
      <c r="F40" s="34">
        <f t="shared" si="5"/>
        <v>1.2379283169863338E-2</v>
      </c>
    </row>
    <row r="41" spans="1:16">
      <c r="A41" s="119" t="str">
        <f>C7</f>
        <v>中证1000 , 3.11%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40021.800000000003</v>
      </c>
      <c r="D41" s="34">
        <f t="shared" si="3"/>
        <v>8.1431226798576173E-3</v>
      </c>
      <c r="E41" s="34">
        <f t="shared" si="4"/>
        <v>3.2969805209088252E-2</v>
      </c>
      <c r="F41" s="34">
        <f t="shared" si="5"/>
        <v>2.6847716854861109E-4</v>
      </c>
    </row>
    <row r="42" spans="1:16">
      <c r="A42" s="119" t="str">
        <f>C8</f>
        <v>创业板 , 1.81%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23308.5</v>
      </c>
      <c r="D42" s="34">
        <f t="shared" si="3"/>
        <v>0.20966925794392832</v>
      </c>
      <c r="E42" s="34">
        <f t="shared" si="4"/>
        <v>1.6002566391583387E-2</v>
      </c>
      <c r="F42" s="34">
        <f t="shared" si="5"/>
        <v>3.3552462205217346E-3</v>
      </c>
    </row>
    <row r="43" spans="1:16">
      <c r="A43" s="119" t="str">
        <f>C10</f>
        <v>中证红利 , 6.14%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79118.22</v>
      </c>
      <c r="D43" s="34">
        <f t="shared" si="3"/>
        <v>0.1929767792521111</v>
      </c>
      <c r="E43" s="34">
        <f t="shared" si="4"/>
        <v>5.5079054097638705E-2</v>
      </c>
      <c r="F43" s="34">
        <f t="shared" si="5"/>
        <v>1.0628978464015103E-2</v>
      </c>
    </row>
    <row r="44" spans="1:16">
      <c r="A44" s="119" t="str">
        <f>C11</f>
        <v>养老产业 , 5.00%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64436</v>
      </c>
      <c r="D44" s="34">
        <f t="shared" si="3"/>
        <v>0.10714776632302403</v>
      </c>
      <c r="E44" s="34">
        <f t="shared" si="4"/>
        <v>4.8335358089302963E-2</v>
      </c>
      <c r="F44" s="34">
        <f t="shared" si="5"/>
        <v>5.1790256536923245E-3</v>
      </c>
    </row>
    <row r="45" spans="1:16">
      <c r="A45" s="119" t="str">
        <f>C12</f>
        <v>全指医药 , 4.19%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53976.800000000003</v>
      </c>
      <c r="D45" s="34">
        <f t="shared" si="3"/>
        <v>0.10470154303086043</v>
      </c>
      <c r="E45" s="34">
        <f t="shared" si="4"/>
        <v>4.0579260565193641E-2</v>
      </c>
      <c r="F45" s="34">
        <f t="shared" si="5"/>
        <v>4.2487111962271175E-3</v>
      </c>
    </row>
    <row r="46" spans="1:16">
      <c r="A46" s="119" t="str">
        <f>C14</f>
        <v>中证传媒 , 2.33%</v>
      </c>
      <c r="B46" s="35">
        <f>SUMIFS(交易明细!M:M,交易明细!M:M,"&lt;0",交易明细!C:C,"=传媒")*-1 - SUMIFS(交易明细!M:M,交易明细!M:M,"&gt;0",交易明细!C:C,"=传媒")</f>
        <v>29620.33</v>
      </c>
      <c r="C46" s="35">
        <f>F14</f>
        <v>29939.8</v>
      </c>
      <c r="D46" s="34">
        <f t="shared" si="3"/>
        <v>1.0785497663260202E-2</v>
      </c>
      <c r="E46" s="34">
        <f t="shared" si="4"/>
        <v>2.4599815417067412E-2</v>
      </c>
      <c r="F46" s="34">
        <f t="shared" si="5"/>
        <v>2.6532125169741405E-4</v>
      </c>
    </row>
    <row r="47" spans="1:16">
      <c r="A47" s="119" t="str">
        <f>C15</f>
        <v>中证环保 , 3.68%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47430.73</v>
      </c>
      <c r="D47" s="34">
        <f t="shared" si="3"/>
        <v>-1.2995463761176329E-2</v>
      </c>
      <c r="E47" s="34">
        <f t="shared" si="4"/>
        <v>3.9910081617075849E-2</v>
      </c>
      <c r="F47" s="34">
        <f t="shared" si="5"/>
        <v>-5.1865001936029804E-4</v>
      </c>
    </row>
    <row r="48" spans="1:16">
      <c r="A48" s="119" t="str">
        <f t="shared" ref="A48:A57" si="6">C17</f>
        <v>全指消费 , 0.76%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9770.2800000000007</v>
      </c>
      <c r="D48" s="34">
        <f t="shared" si="3"/>
        <v>0.52660625000000016</v>
      </c>
      <c r="E48" s="34">
        <f t="shared" si="4"/>
        <v>5.3152283809542776E-3</v>
      </c>
      <c r="F48" s="34">
        <f t="shared" si="5"/>
        <v>2.799032485587904E-3</v>
      </c>
    </row>
    <row r="49" spans="1:6">
      <c r="A49" s="119" t="str">
        <f t="shared" si="6"/>
        <v>金融地产 , 1.83%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23616.82</v>
      </c>
      <c r="D49" s="34">
        <f t="shared" si="3"/>
        <v>0.2300427083333334</v>
      </c>
      <c r="E49" s="34">
        <f t="shared" si="4"/>
        <v>1.5945685142862834E-2</v>
      </c>
      <c r="F49" s="34">
        <f t="shared" si="5"/>
        <v>3.6681885964947613E-3</v>
      </c>
    </row>
    <row r="50" spans="1:6">
      <c r="A50" s="119" t="str">
        <f t="shared" si="6"/>
        <v>证券公司 , 2.74%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35217.9</v>
      </c>
      <c r="D50" s="34">
        <f t="shared" si="3"/>
        <v>0.37719907461720048</v>
      </c>
      <c r="E50" s="34">
        <f t="shared" si="4"/>
        <v>2.123775906018258E-2</v>
      </c>
      <c r="F50" s="34">
        <f t="shared" si="5"/>
        <v>8.0108630644439328E-3</v>
      </c>
    </row>
    <row r="51" spans="1:6">
      <c r="A51" s="119" t="str">
        <f t="shared" si="6"/>
        <v>恒生 , 0.54%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6928.33</v>
      </c>
      <c r="D51" s="34">
        <f t="shared" si="3"/>
        <v>8.2551562499999953E-2</v>
      </c>
      <c r="E51" s="34">
        <f t="shared" si="4"/>
        <v>5.3152283809542776E-3</v>
      </c>
      <c r="F51" s="34">
        <f t="shared" si="5"/>
        <v>4.3878040789212079E-4</v>
      </c>
    </row>
    <row r="52" spans="1:6">
      <c r="A52" s="119" t="str">
        <f t="shared" si="6"/>
        <v>海外互联网 , 1.09%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14087.41</v>
      </c>
      <c r="D52" s="34">
        <f t="shared" si="3"/>
        <v>0.10057890624999999</v>
      </c>
      <c r="E52" s="34">
        <f t="shared" si="4"/>
        <v>1.0630456761908555E-2</v>
      </c>
      <c r="F52" s="34">
        <f t="shared" si="5"/>
        <v>1.0691997140506791E-3</v>
      </c>
    </row>
    <row r="53" spans="1:6">
      <c r="A53" s="119" t="str">
        <f t="shared" si="6"/>
        <v>德国30 , 1.74%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22456.82</v>
      </c>
      <c r="D53" s="34">
        <f t="shared" si="3"/>
        <v>-6.3353982300885514E-3</v>
      </c>
      <c r="E53" s="34">
        <f t="shared" si="4"/>
        <v>1.8769400220244793E-2</v>
      </c>
      <c r="F53" s="34">
        <f t="shared" si="5"/>
        <v>-1.1891162493516173E-4</v>
      </c>
    </row>
    <row r="54" spans="1:6">
      <c r="A54" s="119" t="str">
        <f t="shared" si="6"/>
        <v>原油 , 1.52%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19602.669999999998</v>
      </c>
      <c r="D54" s="34">
        <f t="shared" si="3"/>
        <v>2.0972395833333213E-2</v>
      </c>
      <c r="E54" s="34">
        <f t="shared" si="4"/>
        <v>1.5945685142862834E-2</v>
      </c>
      <c r="F54" s="34">
        <f t="shared" si="5"/>
        <v>3.3441922064982027E-4</v>
      </c>
    </row>
    <row r="55" spans="1:6">
      <c r="A55" s="119" t="str">
        <f t="shared" si="6"/>
        <v>黄金 , 0.52%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6720</v>
      </c>
      <c r="D55" s="34">
        <f t="shared" si="3"/>
        <v>4.3010201943537663E-2</v>
      </c>
      <c r="E55" s="34">
        <f t="shared" si="4"/>
        <v>5.350848716151017E-3</v>
      </c>
      <c r="F55" s="34">
        <f t="shared" si="5"/>
        <v>2.3014108385097472E-4</v>
      </c>
    </row>
    <row r="56" spans="1:6">
      <c r="A56" s="119" t="str">
        <f t="shared" si="6"/>
        <v>白银 , 1.27%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16400.03</v>
      </c>
      <c r="D56" s="34">
        <f t="shared" si="3"/>
        <v>-1.4069325227875962E-2</v>
      </c>
      <c r="E56" s="34">
        <f t="shared" si="4"/>
        <v>1.3814660594140049E-2</v>
      </c>
      <c r="F56" s="34">
        <f t="shared" si="5"/>
        <v>-1.9436295281167855E-4</v>
      </c>
    </row>
    <row r="57" spans="1:6">
      <c r="A57" s="119" t="str">
        <f t="shared" si="6"/>
        <v>可转债 , 3.93%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50545.119999999995</v>
      </c>
      <c r="D57" s="34">
        <f t="shared" si="3"/>
        <v>0.12823928571428556</v>
      </c>
      <c r="E57" s="34">
        <f t="shared" si="4"/>
        <v>3.7206598666679941E-2</v>
      </c>
      <c r="F57" s="34">
        <f t="shared" si="5"/>
        <v>4.7713476368731276E-3</v>
      </c>
    </row>
    <row r="58" spans="1:6">
      <c r="A58" s="119" t="str">
        <f>C29</f>
        <v>美元债 , 0.55%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7038.2</v>
      </c>
      <c r="D58" s="34">
        <f t="shared" si="3"/>
        <v>0.36793699661038048</v>
      </c>
      <c r="E58" s="34">
        <f t="shared" si="4"/>
        <v>4.2730449761586671E-3</v>
      </c>
      <c r="F58" s="34">
        <f t="shared" si="5"/>
        <v>1.5722113349088951E-3</v>
      </c>
    </row>
    <row r="59" spans="1:6">
      <c r="A59" s="119" t="str">
        <f>C30</f>
        <v>货币基金 , 7.01%</v>
      </c>
      <c r="B59" s="117">
        <f>89600</f>
        <v>89600</v>
      </c>
      <c r="C59" s="35">
        <f>F30</f>
        <v>90200.61</v>
      </c>
      <c r="D59" s="34">
        <f t="shared" si="3"/>
        <v>6.7032366071428928E-3</v>
      </c>
      <c r="E59" s="34">
        <f t="shared" si="4"/>
        <v>7.4413197333359882E-2</v>
      </c>
      <c r="F59" s="34">
        <f t="shared" si="5"/>
        <v>4.9880926841952371E-4</v>
      </c>
    </row>
    <row r="60" spans="1:6">
      <c r="A60" s="119" t="str">
        <f>C31</f>
        <v>地产定期 , 8.05%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8.3050443452410583E-2</v>
      </c>
      <c r="F60" s="34">
        <f t="shared" si="5"/>
        <v>2.9898159642867813E-3</v>
      </c>
    </row>
    <row r="61" spans="1:6">
      <c r="A61" s="119" t="str">
        <f>C32</f>
        <v>公积金 , 22.32%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0.23873134833416465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1287608.8599999999</v>
      </c>
      <c r="D62" s="80">
        <f t="shared" si="3"/>
        <v>7.0041958220484091E-2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7846.2</v>
      </c>
      <c r="D67" s="34">
        <f>C67/$C$95</f>
        <v>8.9145621330051477E-3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29466.799999999999</v>
      </c>
      <c r="D68" s="34">
        <f t="shared" ref="D68:D94" si="8">C68/$C$95</f>
        <v>3.3479087897432654E-2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23595.34</v>
      </c>
      <c r="D69" s="34">
        <f t="shared" si="8"/>
        <v>2.6808152287652837E-2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178092</v>
      </c>
      <c r="D70" s="34">
        <f t="shared" si="8"/>
        <v>0.20234154105059174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16739.05</v>
      </c>
      <c r="D71" s="34">
        <f t="shared" si="8"/>
        <v>1.9018289270281132E-2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40021.800000000003</v>
      </c>
      <c r="D72" s="34">
        <f t="shared" si="8"/>
        <v>4.5471288365668154E-2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14940.8</v>
      </c>
      <c r="D73" s="34">
        <f t="shared" si="8"/>
        <v>1.6975184154979905E-2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8367.7000000000007</v>
      </c>
      <c r="D74" s="34">
        <f t="shared" si="8"/>
        <v>9.5070711376650085E-3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79118.22</v>
      </c>
      <c r="D75" s="34">
        <f t="shared" si="8"/>
        <v>8.9891194214112638E-2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64436</v>
      </c>
      <c r="D76" s="34">
        <f t="shared" si="8"/>
        <v>7.3209799087752006E-2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19512</v>
      </c>
      <c r="D77" s="34">
        <f t="shared" si="8"/>
        <v>2.2168812461981144E-2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34464.800000000003</v>
      </c>
      <c r="D78" s="34">
        <f t="shared" si="8"/>
        <v>3.915763057296473E-2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29939.8</v>
      </c>
      <c r="D79" s="34">
        <f t="shared" si="8"/>
        <v>3.4016492996577649E-2</v>
      </c>
    </row>
    <row r="80" spans="1:4">
      <c r="A80" s="119" t="str">
        <f>基金成本!A16</f>
        <v>环保ETF</v>
      </c>
      <c r="B80" s="119" t="str">
        <f>基金成本!B16</f>
        <v>512580</v>
      </c>
      <c r="C80" s="35">
        <f>G15</f>
        <v>28493.4</v>
      </c>
      <c r="D80" s="34">
        <f t="shared" si="8"/>
        <v>3.2373146832934276E-2</v>
      </c>
    </row>
    <row r="81" spans="1:4">
      <c r="A81" s="119" t="str">
        <f>基金成本!A17</f>
        <v>广发环保</v>
      </c>
      <c r="B81" s="119" t="str">
        <f>基金成本!B17</f>
        <v>001064</v>
      </c>
      <c r="C81" s="83">
        <f>H16+I16</f>
        <v>18937.330000000002</v>
      </c>
      <c r="D81" s="34">
        <f t="shared" si="8"/>
        <v>2.151589367059499E-2</v>
      </c>
    </row>
    <row r="82" spans="1:4">
      <c r="A82" s="119" t="str">
        <f>基金成本!A18</f>
        <v>易方达消费</v>
      </c>
      <c r="B82" s="119" t="str">
        <f>基金成本!B18</f>
        <v>110022</v>
      </c>
      <c r="C82" s="35">
        <f>H17</f>
        <v>9770.2800000000007</v>
      </c>
      <c r="D82" s="34">
        <f t="shared" si="8"/>
        <v>1.1100630638634951E-2</v>
      </c>
    </row>
    <row r="83" spans="1:4">
      <c r="A83" s="119" t="str">
        <f>基金成本!A19</f>
        <v>广发金融地产</v>
      </c>
      <c r="B83" s="119" t="str">
        <f>基金成本!B19</f>
        <v>001469</v>
      </c>
      <c r="C83" s="35">
        <f>H18</f>
        <v>23616.82</v>
      </c>
      <c r="D83" s="34">
        <f t="shared" si="8"/>
        <v>2.6832557068899424E-2</v>
      </c>
    </row>
    <row r="84" spans="1:4">
      <c r="A84" s="119" t="str">
        <f>基金成本!A20</f>
        <v>证券ETF</v>
      </c>
      <c r="B84" s="119" t="str">
        <f>基金成本!B20</f>
        <v>512880</v>
      </c>
      <c r="C84" s="35">
        <f>G19</f>
        <v>35217.9</v>
      </c>
      <c r="D84" s="34">
        <f t="shared" si="8"/>
        <v>4.001327492849558E-2</v>
      </c>
    </row>
    <row r="85" spans="1:4">
      <c r="A85" s="119" t="str">
        <f>基金成本!A21</f>
        <v>华夏恒生ETF</v>
      </c>
      <c r="B85" s="119" t="str">
        <f>基金成本!B21</f>
        <v>000071</v>
      </c>
      <c r="C85" s="35">
        <f>H20</f>
        <v>6928.33</v>
      </c>
      <c r="D85" s="34">
        <f t="shared" si="8"/>
        <v>7.8717121999137881E-3</v>
      </c>
    </row>
    <row r="86" spans="1:4">
      <c r="A86" s="119" t="str">
        <f>基金成本!A22</f>
        <v>交银海外互联网</v>
      </c>
      <c r="B86" s="119" t="str">
        <f>基金成本!B22</f>
        <v>164906</v>
      </c>
      <c r="C86" s="35">
        <f>H21</f>
        <v>14087.41</v>
      </c>
      <c r="D86" s="34">
        <f t="shared" si="8"/>
        <v>1.6005594012148308E-2</v>
      </c>
    </row>
    <row r="87" spans="1:4">
      <c r="A87" s="119" t="str">
        <f>基金成本!A23</f>
        <v>华安德国30</v>
      </c>
      <c r="B87" s="119" t="str">
        <f>基金成本!B23</f>
        <v>000614</v>
      </c>
      <c r="C87" s="35">
        <f>H22</f>
        <v>22456.82</v>
      </c>
      <c r="D87" s="34">
        <f t="shared" si="8"/>
        <v>2.5514607988543839E-2</v>
      </c>
    </row>
    <row r="88" spans="1:4">
      <c r="A88" s="119" t="str">
        <f>基金成本!A24</f>
        <v>华宝油气</v>
      </c>
      <c r="B88" s="119" t="str">
        <f>基金成本!B24</f>
        <v>162411</v>
      </c>
      <c r="C88" s="35">
        <f>H23</f>
        <v>19602.669999999998</v>
      </c>
      <c r="D88" s="34">
        <f t="shared" si="8"/>
        <v>2.2271828361218937E-2</v>
      </c>
    </row>
    <row r="89" spans="1:4">
      <c r="A89" s="119" t="str">
        <f>基金成本!A25</f>
        <v>黄金ETF</v>
      </c>
      <c r="B89" s="119" t="str">
        <f>基金成本!B25</f>
        <v>518880</v>
      </c>
      <c r="C89" s="35">
        <f>G24</f>
        <v>6720</v>
      </c>
      <c r="D89" s="34">
        <f t="shared" si="8"/>
        <v>7.6350153620599265E-3</v>
      </c>
    </row>
    <row r="90" spans="1:4">
      <c r="A90" s="119" t="str">
        <f>基金成本!A26</f>
        <v>兴全可转债</v>
      </c>
      <c r="B90" s="119">
        <f>基金成本!B26</f>
        <v>340001</v>
      </c>
      <c r="C90" s="122">
        <f>F26</f>
        <v>36413.81</v>
      </c>
      <c r="D90" s="34">
        <f t="shared" si="8"/>
        <v>4.1372023622192167E-2</v>
      </c>
    </row>
    <row r="91" spans="1:4">
      <c r="A91" s="119" t="str">
        <f>基金成本!A27</f>
        <v>易方达安心债</v>
      </c>
      <c r="B91" s="119">
        <f>基金成本!B27</f>
        <v>110027</v>
      </c>
      <c r="C91" s="122">
        <f>F28</f>
        <v>6785.81</v>
      </c>
      <c r="D91" s="34">
        <f t="shared" si="8"/>
        <v>7.7097862491101003E-3</v>
      </c>
    </row>
    <row r="92" spans="1:4">
      <c r="A92" s="119" t="str">
        <f>基金成本!A28</f>
        <v>长信可转债</v>
      </c>
      <c r="B92" s="119">
        <f>基金成本!B28</f>
        <v>519977</v>
      </c>
      <c r="C92" s="122">
        <f>F27</f>
        <v>7345.5</v>
      </c>
      <c r="D92" s="34">
        <f t="shared" si="8"/>
        <v>8.3456853187516659E-3</v>
      </c>
    </row>
    <row r="93" spans="1:4">
      <c r="A93" s="119" t="str">
        <f>基金成本!A29</f>
        <v>华夏海外债</v>
      </c>
      <c r="B93" s="119" t="str">
        <f>基金成本!B29</f>
        <v>001061</v>
      </c>
      <c r="C93" s="35">
        <f>H29</f>
        <v>7038.2</v>
      </c>
      <c r="D93" s="34">
        <f t="shared" si="8"/>
        <v>7.9965424287574659E-3</v>
      </c>
    </row>
    <row r="94" spans="1:4">
      <c r="A94" s="119" t="s">
        <v>7440</v>
      </c>
      <c r="B94" s="119" t="s">
        <v>7492</v>
      </c>
      <c r="C94" s="35">
        <f>C59</f>
        <v>90200.61</v>
      </c>
      <c r="D94" s="34">
        <f t="shared" si="8"/>
        <v>0.10248259568707981</v>
      </c>
    </row>
    <row r="95" spans="1:4">
      <c r="C95" s="35">
        <f>SUM(C67:C94)</f>
        <v>880155.4</v>
      </c>
      <c r="D95" s="84">
        <f>SUM(D67:D94)</f>
        <v>1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9"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3.70254125E-2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2.4419895112028422E-2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0.72597365582046014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3.70254125E-2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0.11467682730363796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2.3280275551235525</v>
      </c>
    </row>
    <row r="83" spans="1:16">
      <c r="P83" s="108" t="s">
        <v>7540</v>
      </c>
    </row>
    <row r="84" spans="1:16">
      <c r="P84" s="114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0.12180000000000001</v>
      </c>
      <c r="D2" s="35">
        <f>交易明细!X14</f>
        <v>8.5115570698466794</v>
      </c>
      <c r="E2" s="86">
        <v>14.95</v>
      </c>
      <c r="F2" s="34">
        <f t="shared" ref="F2:F15" si="0">$E2*$K$4/$D2-1</f>
        <v>-0.47306938516705632</v>
      </c>
      <c r="G2" s="34">
        <f t="shared" ref="G2:G15" si="1">$E2*$K$6/$D2-1</f>
        <v>-0.12178230861176043</v>
      </c>
      <c r="H2" s="34">
        <f t="shared" ref="H2:H15" si="2">$E2*$K$8/$D2-1</f>
        <v>0.22950476794353514</v>
      </c>
      <c r="I2" s="34">
        <f t="shared" ref="I2:I15" si="3">$E2*$K$10/$D2-1</f>
        <v>0.75643538277647915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0.1186</v>
      </c>
      <c r="D3" s="35">
        <f>交易明细!X15</f>
        <v>11.163745501873018</v>
      </c>
      <c r="E3" s="35">
        <v>19</v>
      </c>
      <c r="F3" s="34">
        <f t="shared" si="0"/>
        <v>-0.48941867234041914</v>
      </c>
      <c r="G3" s="34">
        <f t="shared" si="1"/>
        <v>-0.14903112056736512</v>
      </c>
      <c r="H3" s="34">
        <f t="shared" si="2"/>
        <v>0.19135643120568857</v>
      </c>
      <c r="I3" s="34">
        <f t="shared" si="3"/>
        <v>0.70193775886526977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8.2100000000000006E-2</v>
      </c>
      <c r="D4" s="35">
        <f>交易明细!X17</f>
        <v>24.062919056231024</v>
      </c>
      <c r="E4" s="35">
        <v>83.24</v>
      </c>
      <c r="F4" s="34">
        <f t="shared" si="0"/>
        <v>3.7779329334259204E-2</v>
      </c>
      <c r="G4" s="34">
        <f t="shared" si="1"/>
        <v>0.72963221555709867</v>
      </c>
      <c r="H4" s="34">
        <f t="shared" si="2"/>
        <v>1.4214851017799379</v>
      </c>
      <c r="I4" s="34">
        <f t="shared" si="3"/>
        <v>2.4592644311141973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5.9900000000000002E-2</v>
      </c>
      <c r="D5" s="35">
        <f>交易明细!X19</f>
        <v>40.987866391629289</v>
      </c>
      <c r="E5" s="35">
        <v>144.82</v>
      </c>
      <c r="F5" s="34">
        <f t="shared" si="0"/>
        <v>5.9972226533672846E-2</v>
      </c>
      <c r="G5" s="34">
        <f t="shared" si="1"/>
        <v>0.76662037755612156</v>
      </c>
      <c r="H5" s="34">
        <f t="shared" si="2"/>
        <v>1.4732685285785698</v>
      </c>
      <c r="I5" s="34">
        <f t="shared" si="3"/>
        <v>2.5332407551122431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8.6499999999999994E-2</v>
      </c>
      <c r="D6" s="35">
        <f>交易明细!X20</f>
        <v>44.680759022145743</v>
      </c>
      <c r="E6" s="35">
        <v>137.86000000000001</v>
      </c>
      <c r="F6" s="34">
        <f t="shared" si="0"/>
        <v>-7.4366664641906222E-2</v>
      </c>
      <c r="G6" s="34">
        <f t="shared" si="1"/>
        <v>0.54272222559682293</v>
      </c>
      <c r="H6" s="34">
        <f t="shared" si="2"/>
        <v>1.1598111158355522</v>
      </c>
      <c r="I6" s="34">
        <f t="shared" si="3"/>
        <v>2.0854444511936459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0.12839999999999999</v>
      </c>
      <c r="D7" s="35">
        <f>交易明细!X13</f>
        <v>11.513477607739562</v>
      </c>
      <c r="E7" s="35">
        <v>21.73</v>
      </c>
      <c r="F7" s="34">
        <f t="shared" si="0"/>
        <v>-0.43379400889112651</v>
      </c>
      <c r="G7" s="34">
        <f t="shared" si="1"/>
        <v>-5.6323348151877561E-2</v>
      </c>
      <c r="H7" s="34">
        <f t="shared" si="2"/>
        <v>0.32114731258737139</v>
      </c>
      <c r="I7" s="34">
        <f t="shared" si="3"/>
        <v>0.88735330369624488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0.1177</v>
      </c>
      <c r="D8" s="35">
        <f>交易明细!X24</f>
        <v>26.428580414848135</v>
      </c>
      <c r="E8" s="35">
        <v>52.47</v>
      </c>
      <c r="F8" s="34">
        <f t="shared" si="0"/>
        <v>-0.4043947971130385</v>
      </c>
      <c r="G8" s="34">
        <f t="shared" si="1"/>
        <v>-7.3246618550641962E-3</v>
      </c>
      <c r="H8" s="34">
        <f t="shared" si="2"/>
        <v>0.38974547340290999</v>
      </c>
      <c r="I8" s="34">
        <f t="shared" si="3"/>
        <v>0.98535067628987161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0.1096</v>
      </c>
      <c r="D9" s="35">
        <f>交易明细!X22</f>
        <v>31.184989286480302</v>
      </c>
      <c r="E9" s="35">
        <v>74.42</v>
      </c>
      <c r="F9" s="34">
        <f t="shared" si="0"/>
        <v>-0.28407863812609868</v>
      </c>
      <c r="G9" s="34">
        <f t="shared" si="1"/>
        <v>0.19320226978983546</v>
      </c>
      <c r="H9" s="34">
        <f t="shared" si="2"/>
        <v>0.67048317770576982</v>
      </c>
      <c r="I9" s="34">
        <f t="shared" si="3"/>
        <v>1.3864045395796709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3.70254125E-2</v>
      </c>
      <c r="C10" s="34">
        <f>交易明细!W28</f>
        <v>6.3500000000000001E-2</v>
      </c>
      <c r="D10" s="35">
        <f>交易明细!X28</f>
        <v>49.179902568035907</v>
      </c>
      <c r="E10" s="35">
        <v>121.16</v>
      </c>
      <c r="F10" s="34">
        <f t="shared" si="0"/>
        <v>-0.26091760857566038</v>
      </c>
      <c r="G10" s="34">
        <f t="shared" si="1"/>
        <v>0.23180398570723271</v>
      </c>
      <c r="H10" s="34">
        <f t="shared" si="2"/>
        <v>0.72452557999012579</v>
      </c>
      <c r="I10" s="34">
        <f t="shared" si="3"/>
        <v>1.4636079714144654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7.3599999999999999E-2</v>
      </c>
      <c r="D11" s="35">
        <f>交易明细!X26</f>
        <v>29.969484496442252</v>
      </c>
      <c r="E11" s="35">
        <v>71.13</v>
      </c>
      <c r="F11" s="34">
        <f t="shared" si="0"/>
        <v>-0.28797574070607712</v>
      </c>
      <c r="G11" s="34">
        <f t="shared" si="1"/>
        <v>0.18670709882320469</v>
      </c>
      <c r="H11" s="34">
        <f t="shared" si="2"/>
        <v>0.66138993835248661</v>
      </c>
      <c r="I11" s="34">
        <f t="shared" si="3"/>
        <v>1.3734141976464094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交易明细!Z29</f>
        <v>8.0000000000000002E-3</v>
      </c>
      <c r="C12" s="34">
        <f>交易明细!W29</f>
        <v>0.18279999999999999</v>
      </c>
      <c r="D12" s="35">
        <f>交易明细!X29</f>
        <v>21.723300229182584</v>
      </c>
      <c r="E12" s="35">
        <v>41.41</v>
      </c>
      <c r="F12" s="34">
        <f t="shared" si="0"/>
        <v>-0.42812556706686655</v>
      </c>
      <c r="G12" s="34">
        <f t="shared" si="1"/>
        <v>-4.6875945111444217E-2</v>
      </c>
      <c r="H12" s="34">
        <f t="shared" si="2"/>
        <v>0.33437367684397801</v>
      </c>
      <c r="I12" s="34">
        <f t="shared" si="3"/>
        <v>0.90624810977711157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交易明细!Z30</f>
        <v>1.6E-2</v>
      </c>
      <c r="C13" s="34">
        <f>C2</f>
        <v>0.12180000000000001</v>
      </c>
      <c r="D13" s="35">
        <f>交易明细!Y30</f>
        <v>0.97187589554639298</v>
      </c>
      <c r="E13" s="35">
        <v>3.5</v>
      </c>
      <c r="F13" s="34">
        <f t="shared" si="0"/>
        <v>8.0384856555872686E-2</v>
      </c>
      <c r="G13" s="34">
        <f t="shared" si="1"/>
        <v>0.80064142759312107</v>
      </c>
      <c r="H13" s="34">
        <f t="shared" si="2"/>
        <v>1.5208979986303692</v>
      </c>
      <c r="I13" s="34">
        <f t="shared" si="3"/>
        <v>2.6012828551862421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1.3877076228511511</v>
      </c>
      <c r="E14" s="86">
        <v>5.04</v>
      </c>
      <c r="F14" s="34">
        <f t="shared" si="0"/>
        <v>8.956668905045051E-2</v>
      </c>
      <c r="G14" s="34">
        <f t="shared" si="1"/>
        <v>0.81594448175075085</v>
      </c>
      <c r="H14" s="34">
        <f t="shared" si="2"/>
        <v>1.5423222744510507</v>
      </c>
      <c r="I14" s="34">
        <f t="shared" si="3"/>
        <v>2.6318889635015017</v>
      </c>
      <c r="P14" s="34"/>
      <c r="Q14" s="34"/>
      <c r="R14" s="35"/>
    </row>
    <row r="15" spans="1:23">
      <c r="A15" s="102" t="s">
        <v>7437</v>
      </c>
      <c r="B15" s="85">
        <f>交易明细!Z32</f>
        <v>8.0000000000000002E-3</v>
      </c>
      <c r="C15" s="34">
        <v>0.1116</v>
      </c>
      <c r="D15" s="35">
        <f>交易明细!X32</f>
        <v>10.349990441598163</v>
      </c>
      <c r="E15" s="35">
        <v>14.46</v>
      </c>
      <c r="F15" s="34">
        <f t="shared" si="0"/>
        <v>-0.58086917814291616</v>
      </c>
      <c r="G15" s="34">
        <f t="shared" si="1"/>
        <v>-0.30144863023819357</v>
      </c>
      <c r="H15" s="34">
        <f t="shared" si="2"/>
        <v>-2.2028082333471088E-2</v>
      </c>
      <c r="I15" s="34">
        <f t="shared" si="3"/>
        <v>0.39710273952361286</v>
      </c>
      <c r="P15" s="34"/>
      <c r="Q15" s="34"/>
    </row>
    <row r="16" spans="1:23">
      <c r="A16" s="102" t="s">
        <v>7305</v>
      </c>
      <c r="B16" s="85">
        <f>交易明细!Z33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交易明细!Z31</f>
        <v>2.8250000000000001E-2</v>
      </c>
      <c r="C17" s="34">
        <f>交易明细!U31 / 交易明细!S31</f>
        <v>0.1069703243616287</v>
      </c>
      <c r="D17" s="35">
        <f>交易明细!X31</f>
        <v>14.607357122466459</v>
      </c>
      <c r="E17" s="86">
        <v>24.7</v>
      </c>
      <c r="F17" s="34">
        <f>$E17*$K$4/$D17-1</f>
        <v>-0.49272137746237166</v>
      </c>
      <c r="G17" s="34">
        <f>$E17*$K$6/$D17-1</f>
        <v>-0.15453562910395269</v>
      </c>
      <c r="H17" s="34">
        <f>$E17*$K$8/$D17-1</f>
        <v>0.18365011925446617</v>
      </c>
      <c r="I17" s="34">
        <f>$E17*$K$10/$D17-1</f>
        <v>0.69092874179209463</v>
      </c>
    </row>
    <row r="18" spans="1:16">
      <c r="A18" s="104" t="s">
        <v>7310</v>
      </c>
      <c r="B18" s="85">
        <f>交易明细!Z39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交易明细!Z36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交易明细!Z35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0.12900599999999984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0.28688582499999998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0.13543739999999985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2.4858249999999971E-3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-4.2626000000001441E-3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-0.10094802656186556</v>
      </c>
      <c r="D30" s="34">
        <f>($B30/$D$2)^(1/$D$29)-1+$C$2*$K$2</f>
        <v>-2.8917398795921076E-2</v>
      </c>
      <c r="E30" s="34">
        <f>($B30/$D$2)^(1/$E$29)-1+$C$2*$K$2</f>
        <v>3.8870163016868214E-3</v>
      </c>
      <c r="F30" s="34">
        <f>($B30/$D$2)^(1/$F$29)-1+$C$2*$K$2</f>
        <v>2.9290617099013885E-2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-4.4414076749360015E-2</v>
      </c>
      <c r="K30" s="96">
        <f t="shared" si="5"/>
        <v>4.8813534705986983E-2</v>
      </c>
      <c r="L30" s="96">
        <f t="shared" si="5"/>
        <v>9.1312636987983531E-2</v>
      </c>
      <c r="M30" s="96">
        <f t="shared" si="5"/>
        <v>0.12424050785541613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4.8986580448503639E-2</v>
      </c>
      <c r="D31" s="34">
        <f>($B31/$D$2)^(1/$D$29)-1+$C$2*$K$2</f>
        <v>6.5712220151907988E-2</v>
      </c>
      <c r="E31" s="34">
        <f>($B31/$D$2)^(1/$E$29)-1+$C$2*$K$2</f>
        <v>7.2969481180699527E-2</v>
      </c>
      <c r="F31" s="34">
        <f>($B31/$D$2)^(1/$F$29)-1+$C$2*$K$2</f>
        <v>7.8447877695980009E-2</v>
      </c>
      <c r="H31" s="86" t="s">
        <v>7513</v>
      </c>
      <c r="I31" s="95">
        <f>K6</f>
        <v>0.5</v>
      </c>
      <c r="J31" s="96">
        <f t="shared" si="5"/>
        <v>0.22726660193829235</v>
      </c>
      <c r="K31" s="96">
        <f t="shared" si="5"/>
        <v>0.2162705719240802</v>
      </c>
      <c r="L31" s="96">
        <f t="shared" si="5"/>
        <v>0.21238397948806101</v>
      </c>
      <c r="M31" s="96">
        <f t="shared" si="5"/>
        <v>0.20978406873967018</v>
      </c>
    </row>
    <row r="32" spans="1:16">
      <c r="B32" s="35">
        <f>E$2*$K$8</f>
        <v>10.464999999999998</v>
      </c>
      <c r="C32" s="34">
        <f>($B32/$D$2)^(1/$C$29)-1+$C$2*$K$2</f>
        <v>0.16264745308038292</v>
      </c>
      <c r="D32" s="34">
        <f>($B32/$D$2)^(1/$D$29)-1+$C$2*$K$2</f>
        <v>0.13353794038899441</v>
      </c>
      <c r="E32" s="34">
        <f>($B32/$D$2)^(1/$E$29)-1+$C$2*$K$2</f>
        <v>0.12130583527215628</v>
      </c>
      <c r="F32" s="34">
        <f>($B32/$D$2)^(1/$F$29)-1+$C$2*$K$2</f>
        <v>0.11222606514649676</v>
      </c>
      <c r="H32" s="86" t="s">
        <v>7514</v>
      </c>
      <c r="I32" s="95">
        <f>K8</f>
        <v>0.7</v>
      </c>
      <c r="J32" s="96">
        <f t="shared" si="5"/>
        <v>0.43321947454444237</v>
      </c>
      <c r="K32" s="96">
        <f t="shared" si="5"/>
        <v>0.33629529868904351</v>
      </c>
      <c r="L32" s="96">
        <f t="shared" si="5"/>
        <v>0.29709646465576456</v>
      </c>
      <c r="M32" s="96">
        <f t="shared" si="5"/>
        <v>0.2685649365024958</v>
      </c>
    </row>
    <row r="33" spans="1:13">
      <c r="B33" s="35">
        <f>E$2*$K$10</f>
        <v>14.95</v>
      </c>
      <c r="C33" s="34">
        <f>($B33/$D$2)^(1/$C$29)-1+$C$2*$K$2</f>
        <v>0.29789648585641498</v>
      </c>
      <c r="D33" s="34">
        <f>($B33/$D$2)^(1/$D$29)-1+$C$2*$K$2</f>
        <v>0.21059827945975557</v>
      </c>
      <c r="E33" s="34">
        <f>($B33/$D$2)^(1/$E$29)-1+$C$2*$K$2</f>
        <v>0.17514577558953842</v>
      </c>
      <c r="F33" s="34">
        <f>($B33/$D$2)^(1/$F$29)-1+$C$2*$K$2</f>
        <v>0.14929531024044701</v>
      </c>
      <c r="I33" s="95">
        <f>K10</f>
        <v>1</v>
      </c>
      <c r="J33" s="96">
        <f t="shared" si="5"/>
        <v>0.67828997393821922</v>
      </c>
      <c r="K33" s="96">
        <f t="shared" si="5"/>
        <v>0.47266165217637712</v>
      </c>
      <c r="L33" s="96">
        <f t="shared" si="5"/>
        <v>0.39145432906847216</v>
      </c>
      <c r="M33" s="96">
        <f t="shared" si="5"/>
        <v>0.33307290920314198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-0.11178957534789632</v>
      </c>
      <c r="D35" s="34">
        <f>($B35/$D$3)^(1/$D$29)-1+$C$3*$K$2</f>
        <v>-3.6845604771543722E-2</v>
      </c>
      <c r="E35" s="34">
        <f>($B35/$D$3)^(1/$E$29)-1+$C$3*$K$2</f>
        <v>-2.6126332353527404E-3</v>
      </c>
      <c r="F35" s="34">
        <f>($B35/$D$3)^(1/$F$29)-1+$C$3*$K$2</f>
        <v>2.3938981340665993E-2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3.6578017662984103E-2</v>
      </c>
      <c r="D36" s="34">
        <f>($B36/$D$3)^(1/$D$29)-1+$C$3*$K$2</f>
        <v>5.7189365274764176E-2</v>
      </c>
      <c r="E36" s="34">
        <f>($B36/$D$3)^(1/$E$29)-1+$C$3*$K$2</f>
        <v>6.6159472841661376E-2</v>
      </c>
      <c r="F36" s="34">
        <f>($B36/$D$3)^(1/$F$29)-1+$C$3*$K$2</f>
        <v>7.2941547359409081E-2</v>
      </c>
    </row>
    <row r="37" spans="1:13">
      <c r="B37" s="35">
        <f>$E$3*$K$8</f>
        <v>13.299999999999999</v>
      </c>
      <c r="C37" s="34">
        <f>($B37/$D$3)^(1/$C$29)-1+$C$3*$K$2</f>
        <v>0.1490509845660947</v>
      </c>
      <c r="D37" s="34">
        <f>($B37/$D$3)^(1/$D$29)-1+$C$3*$K$2</f>
        <v>0.12458887128334264</v>
      </c>
      <c r="E37" s="34">
        <f>($B37/$D$3)^(1/$E$29)-1+$C$3*$K$2</f>
        <v>0.11427867178419451</v>
      </c>
      <c r="F37" s="34">
        <f>($B37/$D$3)^(1/$F$29)-1+$C$3*$K$2</f>
        <v>0.10661343713594365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0.2828864869237443</v>
      </c>
      <c r="D38" s="34">
        <f>($B38/$D$3)^(1/$D$29)-1+$C$3*$K$2</f>
        <v>0.20116496613449489</v>
      </c>
      <c r="E38" s="34">
        <f>($B38/$D$3)^(1/$E$29)-1+$C$3*$K$2</f>
        <v>0.16787673162719244</v>
      </c>
      <c r="F38" s="34">
        <f>($B38/$D$3)^(1/$F$29)-1+$C$3*$K$2</f>
        <v>0.14356602781983865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7.401277028190141E-2</v>
      </c>
      <c r="D40" s="34">
        <f>($B40/$D$4)^(1/$D$29)-1+$C$4*$K$2</f>
        <v>6.9019205345819915E-2</v>
      </c>
      <c r="E40" s="34">
        <f>($B40/$D$4)^(1/$E$29)-1+$C$4*$K$2</f>
        <v>6.6886652783414727E-2</v>
      </c>
      <c r="F40" s="34">
        <f>($B40/$D$4)^(1/$F$29)-1+$C$4*$K$2</f>
        <v>6.5290201312513688E-2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0.2619527087761811</v>
      </c>
      <c r="D41" s="34">
        <f>($B41/$D$4)^(1/$D$29)-1+$C$4*$K$2</f>
        <v>0.17738629454154903</v>
      </c>
      <c r="E41" s="34">
        <f>($B41/$D$4)^(1/$E$29)-1+$C$4*$K$2</f>
        <v>0.14299250460664897</v>
      </c>
      <c r="F41" s="34">
        <f>($B41/$D$4)^(1/$F$29)-1+$C$4*$K$2</f>
        <v>0.11789469334172183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0.4044242691289171</v>
      </c>
      <c r="D42" s="34">
        <f>($B42/$D$4)^(1/$D$29)-1+$C$4*$K$2</f>
        <v>0.25505833799286176</v>
      </c>
      <c r="E42" s="34">
        <f>($B42/$D$4)^(1/$E$29)-1+$C$4*$K$2</f>
        <v>0.19624305680686988</v>
      </c>
      <c r="F42" s="34">
        <f>($B42/$D$4)^(1/$F$29)-1+$C$4*$K$2</f>
        <v>0.1540416301507162</v>
      </c>
    </row>
    <row r="43" spans="1:13">
      <c r="B43" s="86">
        <f>$E$4*$K$10</f>
        <v>83.24</v>
      </c>
      <c r="C43" s="34">
        <f>($B43/$D$4)^(1/$C$29)-1+$C$4*$K$2</f>
        <v>0.57395614311168852</v>
      </c>
      <c r="D43" s="34">
        <f>($B43/$D$4)^(1/$D$29)-1+$C$4*$K$2</f>
        <v>0.34330559852698955</v>
      </c>
      <c r="E43" s="34">
        <f>($B43/$D$4)^(1/$E$29)-1+$C$4*$K$2</f>
        <v>0.25555672673950275</v>
      </c>
      <c r="F43" s="34">
        <f>($B43/$D$4)^(1/$F$29)-1+$C$4*$K$2</f>
        <v>0.19371041527813243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6.4528917255637919E-2</v>
      </c>
      <c r="D45" s="34">
        <f>($B45/$D$5)^(1/$D$29)-1+$C$5*$K$2</f>
        <v>5.6641649734254236E-2</v>
      </c>
      <c r="E45" s="34">
        <f>($B45/$D$5)^(1/$E$29)-1+$C$5*$K$2</f>
        <v>5.328009724682204E-2</v>
      </c>
      <c r="F45" s="34">
        <f>($B45/$D$5)^(1/$F$29)-1+$C$5*$K$2</f>
        <v>5.0766264680592761E-2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0.25379911550613954</v>
      </c>
      <c r="D46" s="34">
        <f>($B46/$D$5)^(1/$D$29)-1+$C$5*$K$2</f>
        <v>0.16546831014957897</v>
      </c>
      <c r="E46" s="34">
        <f>($B46/$D$5)^(1/$E$29)-1+$C$5*$K$2</f>
        <v>0.12961634919794018</v>
      </c>
      <c r="F46" s="34">
        <f>($B46/$D$5)^(1/$F$29)-1+$C$5*$K$2</f>
        <v>0.10348218322137848</v>
      </c>
    </row>
    <row r="47" spans="1:13">
      <c r="B47" s="86">
        <f>$E$5*$K$8</f>
        <v>101.374</v>
      </c>
      <c r="C47" s="34">
        <f>($B47/$D$5)^(1/$C$29)-1+$C$5*$K$2</f>
        <v>0.39727910538514755</v>
      </c>
      <c r="D47" s="34">
        <f>($B47/$D$5)^(1/$D$29)-1+$C$5*$K$2</f>
        <v>0.24346975098530355</v>
      </c>
      <c r="E47" s="34">
        <f>($B47/$D$5)^(1/$E$29)-1+$C$5*$K$2</f>
        <v>0.18302811021118759</v>
      </c>
      <c r="F47" s="34">
        <f>($B47/$D$5)^(1/$F$29)-1+$C$5*$K$2</f>
        <v>0.13970568624967228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0.56801094479923153</v>
      </c>
      <c r="D48" s="34">
        <f>($B48/$D$5)^(1/$D$29)-1+$C$5*$K$2</f>
        <v>0.33209125707175369</v>
      </c>
      <c r="E48" s="34">
        <f>($B48/$D$5)^(1/$E$29)-1+$C$5*$K$2</f>
        <v>0.24252134422214511</v>
      </c>
      <c r="F48" s="34">
        <f>($B48/$D$5)^(1/$F$29)-1+$C$5*$K$2</f>
        <v>0.17945849755384213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3.944490378719398E-2</v>
      </c>
      <c r="D50" s="34">
        <f>($B50/$D$6)^(1/$D$29)-1+$C$6*$K$2</f>
        <v>4.9538404256233542E-2</v>
      </c>
      <c r="E50" s="34">
        <f>($B50/$D$6)^(1/$E$29)-1+$C$6*$K$2</f>
        <v>5.3896128462805531E-2</v>
      </c>
      <c r="F50" s="34">
        <f>($B50/$D$6)^(1/$F$29)-1+$C$6*$K$2</f>
        <v>5.7177073088751279E-2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0.22035538851273159</v>
      </c>
      <c r="D51" s="34">
        <f>($B51/$D$6)^(1/$D$29)-1+$C$6*$K$2</f>
        <v>0.15545504598248924</v>
      </c>
      <c r="E51" s="34">
        <f>($B51/$D$6)^(1/$E$29)-1+$C$6*$K$2</f>
        <v>0.12876872667097003</v>
      </c>
      <c r="F51" s="34">
        <f>($B51/$D$6)^(1/$F$29)-1+$C$6*$K$2</f>
        <v>0.10918340558835357</v>
      </c>
    </row>
    <row r="52" spans="1:6">
      <c r="B52" s="86">
        <f>$E$6*$K$8</f>
        <v>96.50200000000001</v>
      </c>
      <c r="C52" s="34">
        <f>($B52/$D$6)^(1/$C$29)-1+$C$6*$K$2</f>
        <v>0.35749813342110914</v>
      </c>
      <c r="D52" s="34">
        <f>($B52/$D$6)^(1/$D$29)-1+$C$6*$K$2</f>
        <v>0.23137073274159323</v>
      </c>
      <c r="E52" s="34">
        <f>($B52/$D$6)^(1/$E$29)-1+$C$6*$K$2</f>
        <v>0.18115638285948951</v>
      </c>
      <c r="F52" s="34">
        <f>($B52/$D$6)^(1/$F$29)-1+$C$6*$K$2</f>
        <v>0.1449193198043279</v>
      </c>
    </row>
    <row r="53" spans="1:6">
      <c r="B53" s="86">
        <f>$E$6*$K$10</f>
        <v>137.86000000000001</v>
      </c>
      <c r="C53" s="34">
        <f>($B53/$D$6)^(1/$C$29)-1+$C$6*$K$2</f>
        <v>0.52068906422789674</v>
      </c>
      <c r="D53" s="34">
        <f>($B53/$D$6)^(1/$D$29)-1+$C$6*$K$2</f>
        <v>0.31762250481267618</v>
      </c>
      <c r="E53" s="34">
        <f>($B53/$D$6)^(1/$E$29)-1+$C$6*$K$2</f>
        <v>0.23950890728077098</v>
      </c>
      <c r="F53" s="34">
        <f>($B53/$D$6)^(1/$F$29)-1+$C$6*$K$2</f>
        <v>0.18413703581318527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-7.6409278598203401E-2</v>
      </c>
      <c r="D55" s="34">
        <f>($B55/$D$7)^(1/$D$29)-1+$C$7*$K$2</f>
        <v>-1.1227399054457299E-2</v>
      </c>
      <c r="E55" s="34">
        <f>($B55/$D$7)^(1/$E$29)-1+$C$7*$K$2</f>
        <v>1.8256938716043669E-2</v>
      </c>
      <c r="F55" s="34">
        <f>($B55/$D$7)^(1/$F$29)-1+$C$7*$K$2</f>
        <v>4.1007680155900228E-2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7.7161609273601439E-2</v>
      </c>
      <c r="D56" s="34">
        <f>($B56/$D$7)^(1/$D$29)-1+$C$7*$K$2</f>
        <v>8.477261507854511E-2</v>
      </c>
      <c r="E56" s="34">
        <f>($B56/$D$7)^(1/$E$29)-1+$C$7*$K$2</f>
        <v>8.8052526950852139E-2</v>
      </c>
      <c r="F56" s="34">
        <f>($B56/$D$7)^(1/$F$29)-1+$C$7*$K$2</f>
        <v>9.0519601033164643E-2</v>
      </c>
    </row>
    <row r="57" spans="1:6">
      <c r="B57" s="86">
        <f>$E$7*$K$8</f>
        <v>15.210999999999999</v>
      </c>
      <c r="C57" s="34">
        <f>($B57/$D$7)^(1/$C$29)-1+$C$7*$K$2</f>
        <v>0.19357903600654142</v>
      </c>
      <c r="D57" s="34">
        <f>($B57/$D$7)^(1/$D$29)-1+$C$7*$K$2</f>
        <v>0.15358056520810409</v>
      </c>
      <c r="E57" s="34">
        <f>($B57/$D$7)^(1/$E$29)-1+$C$7*$K$2</f>
        <v>0.1368878467798082</v>
      </c>
      <c r="F57" s="34">
        <f>($B57/$D$7)^(1/$F$29)-1+$C$7*$K$2</f>
        <v>0.12454149167795409</v>
      </c>
    </row>
    <row r="58" spans="1:6">
      <c r="B58" s="86">
        <f>$E$7*$K$10</f>
        <v>21.73</v>
      </c>
      <c r="C58" s="34">
        <f>($B58/$D$7)^(1/$C$29)-1+$C$7*$K$2</f>
        <v>0.33210818855757068</v>
      </c>
      <c r="D58" s="34">
        <f>($B58/$D$7)^(1/$D$29)-1+$C$7*$K$2</f>
        <v>0.2317568669003422</v>
      </c>
      <c r="E58" s="34">
        <f>($B58/$D$7)^(1/$E$29)-1+$C$7*$K$2</f>
        <v>0.19128356516594075</v>
      </c>
      <c r="F58" s="34">
        <f>($B58/$D$7)^(1/$F$29)-1+$C$7*$K$2</f>
        <v>0.16187818432076678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-7.0356669474037181E-2</v>
      </c>
      <c r="D60" s="34">
        <f>($B60/$D$8)^(1/$D$29)-1+$C$8*$K$2</f>
        <v>-1.0171099683008999E-2</v>
      </c>
      <c r="E60" s="34">
        <f>($B60/$D$8)^(1/$E$29)-1+$C$8*$K$2</f>
        <v>1.6923179817264877E-2</v>
      </c>
      <c r="F60" s="34">
        <f>($B60/$D$8)^(1/$F$29)-1+$C$8*$K$2</f>
        <v>3.7776922229223797E-2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8.5827460485926377E-2</v>
      </c>
      <c r="D61" s="34">
        <f>($B61/$D$8)^(1/$D$29)-1+$C$8*$K$2</f>
        <v>8.6805756615323082E-2</v>
      </c>
      <c r="E61" s="34">
        <f>($B61/$D$8)^(1/$E$29)-1+$C$8*$K$2</f>
        <v>8.7225320027625508E-2</v>
      </c>
      <c r="F61" s="34">
        <f>($B61/$D$8)^(1/$F$29)-1+$C$8*$K$2</f>
        <v>8.7540108274737571E-2</v>
      </c>
    </row>
    <row r="62" spans="1:6">
      <c r="B62" s="86">
        <f>$E$8*$K$8</f>
        <v>36.728999999999999</v>
      </c>
      <c r="C62" s="34">
        <f>($B62/$D$8)^(1/$C$29)-1+$C$8*$K$2</f>
        <v>0.20422590669169527</v>
      </c>
      <c r="D62" s="34">
        <f>($B62/$D$8)^(1/$D$29)-1+$C$8*$K$2</f>
        <v>0.15631385775635287</v>
      </c>
      <c r="E62" s="34">
        <f>($B62/$D$8)^(1/$E$29)-1+$C$8*$K$2</f>
        <v>0.13641506953275051</v>
      </c>
      <c r="F62" s="34">
        <f>($B62/$D$8)^(1/$F$29)-1+$C$8*$K$2</f>
        <v>0.12173465463406108</v>
      </c>
    </row>
    <row r="63" spans="1:6">
      <c r="B63" s="86">
        <f>$E$8*$K$10</f>
        <v>52.47</v>
      </c>
      <c r="C63" s="34">
        <f>($B63/$D$8)^(1/$C$29)-1+$C$8*$K$2</f>
        <v>0.34511234334064234</v>
      </c>
      <c r="D63" s="34">
        <f>($B63/$D$8)^(1/$D$29)-1+$C$8*$K$2</f>
        <v>0.23528563753796627</v>
      </c>
      <c r="E63" s="34">
        <f>($B63/$D$8)^(1/$E$29)-1+$C$8*$K$2</f>
        <v>0.19120557302360008</v>
      </c>
      <c r="F63" s="34">
        <f>($B63/$D$8)^(1/$F$29)-1+$C$8*$K$2</f>
        <v>0.15926082508731942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-2.3214666515208038E-2</v>
      </c>
      <c r="D65" s="34">
        <f>($B65/$D$9)^(1/$D$29)-1+$C$9*$K$2</f>
        <v>1.7547660336738991E-2</v>
      </c>
      <c r="E65" s="34">
        <f>($B65/$D$9)^(1/$E$29)-1+$C$9*$K$2</f>
        <v>3.5580960198505485E-2</v>
      </c>
      <c r="F65" s="34">
        <f>($B65/$D$9)^(1/$F$29)-1+$C$9*$K$2</f>
        <v>4.9333734463201828E-2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0.14284819432235557</v>
      </c>
      <c r="D66" s="34">
        <f>($B66/$D$9)^(1/$D$29)-1+$C$9*$K$2</f>
        <v>0.11815958782500563</v>
      </c>
      <c r="E66" s="34">
        <f>($B66/$D$9)^(1/$E$29)-1+$C$9*$K$2</f>
        <v>0.10775546438043632</v>
      </c>
      <c r="F66" s="34">
        <f>($B66/$D$9)^(1/$F$29)-1+$C$9*$K$2</f>
        <v>0.10002099989389363</v>
      </c>
    </row>
    <row r="67" spans="1:6">
      <c r="B67" s="86">
        <f>$E$9*$K$8</f>
        <v>52.094000000000001</v>
      </c>
      <c r="C67" s="34">
        <f>($B67/$D$9)^(1/$C$29)-1+$C$9*$K$2</f>
        <v>0.26873540642701971</v>
      </c>
      <c r="D67" s="34">
        <f>($B67/$D$9)^(1/$D$29)-1+$C$9*$K$2</f>
        <v>0.19027312396949164</v>
      </c>
      <c r="E67" s="34">
        <f>($B67/$D$9)^(1/$E$29)-1+$C$9*$K$2</f>
        <v>0.15825528943188688</v>
      </c>
      <c r="F67" s="34">
        <f>($B67/$D$9)^(1/$F$29)-1+$C$9*$K$2</f>
        <v>0.13485052318872265</v>
      </c>
    </row>
    <row r="68" spans="1:6">
      <c r="B68" s="86">
        <f>$E$9*$K$10</f>
        <v>74.42</v>
      </c>
      <c r="C68" s="34">
        <f>($B68/$D$9)^(1/$C$29)-1+$C$9*$K$2</f>
        <v>0.41853298655972354</v>
      </c>
      <c r="D68" s="34">
        <f>($B68/$D$9)^(1/$D$29)-1+$C$9*$K$2</f>
        <v>0.27220507437799041</v>
      </c>
      <c r="E68" s="34">
        <f>($B68/$D$9)^(1/$E$29)-1+$C$9*$K$2</f>
        <v>0.21450503391331671</v>
      </c>
      <c r="F68" s="34">
        <f>($B68/$D$9)^(1/$F$29)-1+$C$9*$K$2</f>
        <v>0.17307353729843061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-4.824485020539207E-2</v>
      </c>
      <c r="D70" s="34">
        <f>($B70/$D$10)^(1/$D$29)-1+$C$10*$K$2</f>
        <v>-1.1052214932405408E-2</v>
      </c>
      <c r="E70" s="34">
        <f>($B70/$D$10)^(1/$E$29)-1+$C$10*$K$2</f>
        <v>5.3522323621275347E-3</v>
      </c>
      <c r="F70" s="34">
        <f>($B70/$D$10)^(1/$F$29)-1+$C$10*$K$2</f>
        <v>1.7842905971434203E-2</v>
      </c>
    </row>
    <row r="71" spans="1:6">
      <c r="A71" s="85">
        <f>B10</f>
        <v>3.70254125E-2</v>
      </c>
      <c r="B71" s="86">
        <f>$E$10*$K$6</f>
        <v>60.58</v>
      </c>
      <c r="C71" s="34">
        <f>($B71/$D$10)^(1/$C$29)-1+$C$10*$K$2</f>
        <v>0.11958982539734617</v>
      </c>
      <c r="D71" s="34">
        <f>($B71/$D$10)^(1/$D$29)-1+$C$10*$K$2</f>
        <v>9.0202434873611875E-2</v>
      </c>
      <c r="E71" s="34">
        <f>($B71/$D$10)^(1/$E$29)-1+$C$10*$K$2</f>
        <v>7.7855765601219068E-2</v>
      </c>
      <c r="F71" s="34">
        <f>($B71/$D$10)^(1/$F$29)-1+$C$10*$K$2</f>
        <v>6.8691812149729942E-2</v>
      </c>
    </row>
    <row r="72" spans="1:6">
      <c r="B72" s="86">
        <f>$E$10*$K$8</f>
        <v>84.811999999999998</v>
      </c>
      <c r="C72" s="34">
        <f>($B72/$D$10)^(1/$C$29)-1+$C$10*$K$2</f>
        <v>0.2468201964722265</v>
      </c>
      <c r="D72" s="34">
        <f>($B72/$D$10)^(1/$D$29)-1+$C$10*$K$2</f>
        <v>0.16277664183764237</v>
      </c>
      <c r="E72" s="34">
        <f>($B72/$D$10)^(1/$E$29)-1+$C$10*$K$2</f>
        <v>0.12858580920438409</v>
      </c>
      <c r="F72" s="34">
        <f>($B72/$D$10)^(1/$F$29)-1+$C$10*$K$2</f>
        <v>0.10363240614715494</v>
      </c>
    </row>
    <row r="73" spans="1:6">
      <c r="B73" s="86">
        <f>$E$10*$K$10</f>
        <v>121.16</v>
      </c>
      <c r="C73" s="34">
        <f>($B73/$D$10)^(1/$C$29)-1+$C$10*$K$2</f>
        <v>0.39821604826499879</v>
      </c>
      <c r="D73" s="34">
        <f>($B73/$D$10)^(1/$D$29)-1+$C$10*$K$2</f>
        <v>0.24523198439634639</v>
      </c>
      <c r="E73" s="34">
        <f>($B73/$D$10)^(1/$E$29)-1+$C$10*$K$2</f>
        <v>0.1850919849644492</v>
      </c>
      <c r="F73" s="34">
        <f>($B73/$D$10)^(1/$F$29)-1+$C$10*$K$2</f>
        <v>0.14197731273861078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-5.1840839466102212E-2</v>
      </c>
      <c r="D75" s="34">
        <f>($B75/$D$11)^(1/$D$29)-1+$C$11*$K$2</f>
        <v>-1.0472873175961267E-2</v>
      </c>
      <c r="E75" s="34">
        <f>($B75/$D$11)^(1/$E$29)-1+$C$11*$K$2</f>
        <v>7.8378377783669684E-3</v>
      </c>
      <c r="F75" s="34">
        <f>($B75/$D$11)^(1/$F$29)-1+$C$11*$K$2</f>
        <v>2.1805983234140042E-2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0.11392015309536271</v>
      </c>
      <c r="D76" s="34">
        <f>($B76/$D$11)^(1/$D$29)-1+$C$11*$K$2</f>
        <v>9.0029279254181777E-2</v>
      </c>
      <c r="E76" s="34">
        <f>($B76/$D$11)^(1/$E$29)-1+$C$11*$K$2</f>
        <v>7.9956084813932321E-2</v>
      </c>
      <c r="F76" s="34">
        <f>($B76/$D$11)^(1/$F$29)-1+$C$11*$K$2</f>
        <v>7.2465589339471309E-2</v>
      </c>
    </row>
    <row r="77" spans="1:6">
      <c r="B77" s="35">
        <f>$E$11*$K$8</f>
        <v>49.790999999999997</v>
      </c>
      <c r="C77" s="34">
        <f>($B77/$D$11)^(1/$C$29)-1+$C$11*$K$2</f>
        <v>0.23957852802650578</v>
      </c>
      <c r="D77" s="34">
        <f>($B77/$D$11)^(1/$D$29)-1+$C$11*$K$2</f>
        <v>0.16206413419436769</v>
      </c>
      <c r="E77" s="34">
        <f>($B77/$D$11)^(1/$E$29)-1+$C$11*$K$2</f>
        <v>0.13041654726661553</v>
      </c>
      <c r="F77" s="34">
        <f>($B77/$D$11)^(1/$F$29)-1+$C$11*$K$2</f>
        <v>0.10727610665501172</v>
      </c>
    </row>
    <row r="78" spans="1:6">
      <c r="A78" s="85"/>
      <c r="B78" s="35">
        <f>$E$11*$K$10</f>
        <v>71.13</v>
      </c>
      <c r="C78" s="34">
        <f>($B78/$D$11)^(1/$C$29)-1+$C$11*$K$2</f>
        <v>0.38910380683277024</v>
      </c>
      <c r="D78" s="34">
        <f>($B78/$D$11)^(1/$D$29)-1+$C$11*$K$2</f>
        <v>0.24390669078204605</v>
      </c>
      <c r="E78" s="34">
        <f>($B78/$D$11)^(1/$E$29)-1+$C$11*$K$2</f>
        <v>0.18662244731649444</v>
      </c>
      <c r="F78" s="34">
        <f>($B78/$D$11)^(1/$F$29)-1+$C$11*$K$2</f>
        <v>0.14547826300538799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-3.2857696580536389E-2</v>
      </c>
      <c r="D80" s="34">
        <f>($B80/$D$12)^(1/$D$29)-1+$C$12*$K$2</f>
        <v>3.135244482379862E-2</v>
      </c>
      <c r="E80" s="34">
        <f>($B80/$D$12)^(1/$E$29)-1+$C$12*$K$2</f>
        <v>6.0369882033666666E-2</v>
      </c>
      <c r="F80" s="34">
        <f>($B80/$D$12)^(1/$F$29)-1+$C$12*$K$2</f>
        <v>8.2749218697820592E-2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0.12122397049206635</v>
      </c>
      <c r="D81" s="34">
        <f>($B81/$D$12)^(1/$D$29)-1+$C$12*$K$2</f>
        <v>0.12754391025433776</v>
      </c>
      <c r="E81" s="34">
        <f>($B81/$D$12)^(1/$E$29)-1+$C$12*$K$2</f>
        <v>0.13026486498782075</v>
      </c>
      <c r="F81" s="34">
        <f>($B81/$D$12)^(1/$F$29)-1+$C$12*$K$2</f>
        <v>0.13231048540212731</v>
      </c>
    </row>
    <row r="82" spans="1:11">
      <c r="A82" s="85"/>
      <c r="B82" s="35">
        <f>$E$12*$K$8</f>
        <v>28.986999999999995</v>
      </c>
      <c r="C82" s="34">
        <f>($B82/$D$12)^(1/$C$29)-1+$C$12*$K$2</f>
        <v>0.23802860342671339</v>
      </c>
      <c r="D82" s="34">
        <f>($B82/$D$12)^(1/$D$29)-1+$C$12*$K$2</f>
        <v>0.1964890829817485</v>
      </c>
      <c r="E82" s="34">
        <f>($B82/$D$12)^(1/$E$29)-1+$C$12*$K$2</f>
        <v>0.17916973037160799</v>
      </c>
      <c r="F82" s="34">
        <f>($B82/$D$12)^(1/$F$29)-1+$C$12*$K$2</f>
        <v>0.16636628380694019</v>
      </c>
    </row>
    <row r="83" spans="1:11">
      <c r="B83" s="35">
        <f>$E$12*$K$10</f>
        <v>41.41</v>
      </c>
      <c r="C83" s="34">
        <f>($B83/$D$12)^(1/$C$29)-1+$C$12*$K$2</f>
        <v>0.37701850612907539</v>
      </c>
      <c r="D83" s="34">
        <f>($B83/$D$12)^(1/$D$29)-1+$C$12*$K$2</f>
        <v>0.2748212904259888</v>
      </c>
      <c r="E83" s="34">
        <f>($B83/$D$12)^(1/$E$29)-1+$C$12*$K$2</f>
        <v>0.23364291278232052</v>
      </c>
      <c r="F83" s="34">
        <f>($B83/$D$12)^(1/$F$29)-1+$C$12*$K$2</f>
        <v>0.20374018789186299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0.11745742306128788</v>
      </c>
      <c r="D85" s="34">
        <f>($B85/$D$13)^(1/$D$29)-1+$C$13*$K$2</f>
        <v>0.10693364330059425</v>
      </c>
      <c r="E85" s="34">
        <f>($B85/$D$13)^(1/$E$29)-1+$C$13*$K$2</f>
        <v>0.10245655722364462</v>
      </c>
      <c r="F85" s="34">
        <f>($B85/$D$13)^(1/$F$29)-1+$C$13*$K$2</f>
        <v>9.9111699659494915E-2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0.30793487425808247</v>
      </c>
      <c r="D86" s="34">
        <f>($B86/$D$13)^(1/$D$29)-1+$C$13*$K$2</f>
        <v>0.21617626207321478</v>
      </c>
      <c r="E86" s="34">
        <f>($B86/$D$13)^(1/$E$29)-1+$C$13*$K$2</f>
        <v>0.17900110498503569</v>
      </c>
      <c r="F86" s="34">
        <f>($B86/$D$13)^(1/$F$29)-1+$C$13*$K$2</f>
        <v>0.1519282677733948</v>
      </c>
    </row>
    <row r="87" spans="1:11">
      <c r="B87" s="35">
        <f>$E$13*$K$8</f>
        <v>2.4499999999999997</v>
      </c>
      <c r="C87" s="34">
        <f>($B87/$D$13)^(1/$C$29)-1+$C$13*$K$2</f>
        <v>0.45233004593600329</v>
      </c>
      <c r="D87" s="34">
        <f>($B87/$D$13)^(1/$D$29)-1+$C$13*$K$2</f>
        <v>0.29447584080155592</v>
      </c>
      <c r="E87" s="34">
        <f>($B87/$D$13)^(1/$E$29)-1+$C$13*$K$2</f>
        <v>0.23255860862716554</v>
      </c>
      <c r="F87" s="34">
        <f>($B87/$D$13)^(1/$F$29)-1+$C$13*$K$2</f>
        <v>0.18822093169686832</v>
      </c>
    </row>
    <row r="88" spans="1:11">
      <c r="B88" s="35">
        <f>$E$13*$K$10</f>
        <v>3.5</v>
      </c>
      <c r="C88" s="34">
        <f>($B88/$D$13)^(1/$C$29)-1+$C$13*$K$2</f>
        <v>0.62415089206146557</v>
      </c>
      <c r="D88" s="34">
        <f>($B88/$D$13)^(1/$D$29)-1+$C$13*$K$2</f>
        <v>0.38343607690096565</v>
      </c>
      <c r="E88" s="34">
        <f>($B88/$D$13)^(1/$E$29)-1+$C$13*$K$2</f>
        <v>0.29221417954971279</v>
      </c>
      <c r="F88" s="34">
        <f>($B88/$D$13)^(1/$F$29)-1+$C$13*$K$2</f>
        <v>0.22804964234223529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6.5831075805682038E-2</v>
      </c>
      <c r="D90" s="34">
        <f>($B90/$D$14)^(1/$D$29)-1+$C$14*$K$2</f>
        <v>5.4129026508795586E-2</v>
      </c>
      <c r="E90" s="34">
        <f>($B90/$D$14)^(1/$E$29)-1+$C$14*$K$2</f>
        <v>4.9154689294804155E-2</v>
      </c>
      <c r="F90" s="34">
        <f>($B90/$D$14)^(1/$F$29)-1+$C$14*$K$2</f>
        <v>4.5439904960657196E-2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0.25684660710427487</v>
      </c>
      <c r="D91" s="34">
        <f>($B91/$D$14)^(1/$D$29)-1+$C$14*$K$2</f>
        <v>0.16355670061210825</v>
      </c>
      <c r="E91" s="34">
        <f>($B91/$D$14)^(1/$E$29)-1+$C$14*$K$2</f>
        <v>0.12579183272830374</v>
      </c>
      <c r="F91" s="34">
        <f>($B91/$D$14)^(1/$F$29)-1+$C$14*$K$2</f>
        <v>9.8301189375959663E-2</v>
      </c>
    </row>
    <row r="92" spans="1:11">
      <c r="B92" s="35">
        <f>$E$14*$K$8</f>
        <v>3.5279999999999996</v>
      </c>
      <c r="C92" s="34">
        <f>($B92/$D$14)^(1/$C$29)-1+$C$14*$K$2</f>
        <v>0.40164968096792653</v>
      </c>
      <c r="D92" s="34">
        <f>($B92/$D$14)^(1/$D$29)-1+$C$14*$K$2</f>
        <v>0.24198891763306285</v>
      </c>
      <c r="E92" s="34">
        <f>($B92/$D$14)^(1/$E$29)-1+$C$14*$K$2</f>
        <v>0.17941412469554907</v>
      </c>
      <c r="F92" s="34">
        <f>($B92/$D$14)^(1/$F$29)-1+$C$14*$K$2</f>
        <v>0.13462457990202503</v>
      </c>
    </row>
    <row r="93" spans="1:11">
      <c r="B93" s="35">
        <f>$E$14*$K$10</f>
        <v>5.04</v>
      </c>
      <c r="C93" s="34">
        <f>($B93/$D$14)^(1/$C$29)-1+$C$14*$K$2</f>
        <v>0.57395590411724828</v>
      </c>
      <c r="D93" s="34">
        <f>($B93/$D$14)^(1/$D$29)-1+$C$14*$K$2</f>
        <v>0.33109985101614037</v>
      </c>
      <c r="E93" s="34">
        <f>($B93/$D$14)^(1/$E$29)-1+$C$14*$K$2</f>
        <v>0.23914186075390453</v>
      </c>
      <c r="F93" s="34">
        <f>($B93/$D$14)^(1/$F$29)-1+$C$14*$K$2</f>
        <v>0.17448701088730234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-0.16792971838455861</v>
      </c>
      <c r="D95" s="34">
        <f>($B95/$D$15)^(1/$D$29)-1+$C$15*$K$2</f>
        <v>-7.5931200738601823E-2</v>
      </c>
      <c r="E95" s="34">
        <f>($B95/$D$15)^(1/$E$29)-1+$C$15*$K$2</f>
        <v>-3.3118541904761711E-2</v>
      </c>
      <c r="F95" s="34">
        <f>($B95/$D$15)^(1/$F$29)-1+$C$15*$K$2</f>
        <v>4.1631340420578145E-4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-2.9008918680897944E-2</v>
      </c>
      <c r="D96" s="34">
        <f>($B96/$D$15)^(1/$D$29)-1+$C$15*$K$2</f>
        <v>1.4464197977902993E-2</v>
      </c>
      <c r="E96" s="34">
        <f>($B96/$D$15)^(1/$E$29)-1+$C$15*$K$2</f>
        <v>3.3741597432850323E-2</v>
      </c>
      <c r="F96" s="34">
        <f>($B96/$D$15)^(1/$F$29)-1+$C$15*$K$2</f>
        <v>4.8461212931937392E-2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7.6302721079124947E-2</v>
      </c>
      <c r="D97" s="34">
        <f>($B97/$D$15)^(1/$D$29)-1+$C$15*$K$2</f>
        <v>7.9255043510587209E-2</v>
      </c>
      <c r="E97" s="34">
        <f>($B97/$D$15)^(1/$E$29)-1+$C$15*$K$2</f>
        <v>8.0523011143072032E-2</v>
      </c>
      <c r="F97" s="34">
        <f>($B97/$D$15)^(1/$F$29)-1+$C$15*$K$2</f>
        <v>8.1475046546358176E-2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0.20161671073792042</v>
      </c>
      <c r="D98" s="34">
        <f>($B98/$D$15)^(1/$D$29)-1+$C$15*$K$2</f>
        <v>0.15286730310735186</v>
      </c>
      <c r="E98" s="34">
        <f>($B98/$D$15)^(1/$E$29)-1+$C$15*$K$2</f>
        <v>0.13263096527952756</v>
      </c>
      <c r="F98" s="34">
        <f>($B98/$D$15)^(1/$F$29)-1+$C$15*$K$2</f>
        <v>0.11770546570477658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-0.12223890511661969</v>
      </c>
      <c r="D105" s="34">
        <f>($B105/$D$17)^(1/$D$29)-1+$C$17*$K$2</f>
        <v>-4.6701760751159033E-2</v>
      </c>
      <c r="E105" s="34">
        <f>($B105/$D$17)^(1/$E$29)-1+$C$17*$K$2</f>
        <v>-1.2176690013011332E-2</v>
      </c>
      <c r="F105" s="34">
        <f>($B105/$D$17)^(1/$F$29)-1+$C$17*$K$2</f>
        <v>1.4610157477321334E-2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2.580808942349036E-2</v>
      </c>
      <c r="D106" s="34">
        <f t="shared" ref="D106:D108" si="8">($B106/$D$17)^(1/$D$29)-1+$C$17*$K$2</f>
        <v>4.7211239899124374E-2</v>
      </c>
      <c r="E106" s="34">
        <f t="shared" ref="E106:E108" si="9">($B106/$D$17)^(1/$E$29)-1+$C$17*$K$2</f>
        <v>5.6531688652102702E-2</v>
      </c>
      <c r="F106" s="34">
        <f t="shared" ref="F106:F108" si="10">($B106/$D$17)^(1/$F$29)-1+$C$17*$K$2</f>
        <v>6.3580933446502758E-2</v>
      </c>
    </row>
    <row r="107" spans="1:11">
      <c r="A107" s="86" t="s">
        <v>7509</v>
      </c>
      <c r="B107" s="35">
        <f>$E$17*$K$8</f>
        <v>17.29</v>
      </c>
      <c r="C107" s="34">
        <f t="shared" si="7"/>
        <v>0.13803802036126414</v>
      </c>
      <c r="D107" s="34">
        <f t="shared" si="8"/>
        <v>0.11452332441933358</v>
      </c>
      <c r="E107" s="34">
        <f t="shared" si="9"/>
        <v>0.10460629812099279</v>
      </c>
      <c r="F107" s="34">
        <f t="shared" si="10"/>
        <v>9.7230978835451093E-2</v>
      </c>
    </row>
    <row r="108" spans="1:11">
      <c r="B108" s="35">
        <f>$E$17*$K$10</f>
        <v>24.7</v>
      </c>
      <c r="C108" s="34">
        <f t="shared" si="7"/>
        <v>0.27158432575534563</v>
      </c>
      <c r="D108" s="34">
        <f t="shared" si="8"/>
        <v>0.19100009515697439</v>
      </c>
      <c r="E108" s="34">
        <f t="shared" si="9"/>
        <v>0.15815469152462283</v>
      </c>
      <c r="F108" s="34">
        <f t="shared" si="10"/>
        <v>0.13415959680149261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0.12900599999999984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7581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8.1950523733750016E-2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4.7562569957500002E-2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0.1118519541025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0.17167244348000002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交易明细!Z30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8.9912513541250003E-2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3.70254125E-2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6" sqref="A2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82" t="s">
        <v>7471</v>
      </c>
      <c r="B16" s="51" t="s">
        <v>7472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7473</v>
      </c>
      <c r="B17" s="51" t="s">
        <v>65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7475</v>
      </c>
      <c r="B18" s="51" t="s">
        <v>7474</v>
      </c>
      <c r="C18" s="34">
        <v>1.4999999999999999E-2</v>
      </c>
      <c r="D18" s="34">
        <v>2.5000000000000001E-3</v>
      </c>
      <c r="E18" s="34">
        <v>0</v>
      </c>
      <c r="F18" s="34">
        <f t="shared" ref="F18" si="9">SUM(C18:E18)</f>
        <v>1.7499999999999998E-2</v>
      </c>
    </row>
    <row r="19" spans="1:6">
      <c r="A19" s="82" t="s">
        <v>7477</v>
      </c>
      <c r="B19" s="51" t="s">
        <v>131</v>
      </c>
      <c r="C19" s="34">
        <v>5.0000000000000001E-3</v>
      </c>
      <c r="D19" s="34">
        <v>1E-3</v>
      </c>
      <c r="E19" s="34">
        <v>0</v>
      </c>
      <c r="F19" s="34">
        <f t="shared" ref="F19:F24" si="10">SUM(C19:E19)</f>
        <v>6.0000000000000001E-3</v>
      </c>
    </row>
    <row r="20" spans="1:6">
      <c r="A20" s="82" t="s">
        <v>48</v>
      </c>
      <c r="B20" s="51" t="s">
        <v>7476</v>
      </c>
      <c r="C20" s="34">
        <v>5.0000000000000001E-3</v>
      </c>
      <c r="D20" s="34">
        <v>1E-3</v>
      </c>
      <c r="E20" s="34">
        <v>0</v>
      </c>
      <c r="F20" s="34">
        <f t="shared" si="10"/>
        <v>6.0000000000000001E-3</v>
      </c>
    </row>
    <row r="21" spans="1:6">
      <c r="A21" s="82" t="s">
        <v>7478</v>
      </c>
      <c r="B21" s="51" t="s">
        <v>66</v>
      </c>
      <c r="C21" s="34">
        <v>6.0000000000000001E-3</v>
      </c>
      <c r="D21" s="34">
        <v>1.5E-3</v>
      </c>
      <c r="E21" s="34">
        <v>0</v>
      </c>
      <c r="F21" s="34">
        <f t="shared" si="10"/>
        <v>7.4999999999999997E-3</v>
      </c>
    </row>
    <row r="22" spans="1:6">
      <c r="A22" s="82" t="s">
        <v>7480</v>
      </c>
      <c r="B22" s="51" t="s">
        <v>7481</v>
      </c>
      <c r="C22" s="34">
        <v>1.2E-2</v>
      </c>
      <c r="D22" s="34">
        <v>2.5000000000000001E-3</v>
      </c>
      <c r="E22" s="34">
        <v>0</v>
      </c>
      <c r="F22" s="34">
        <f t="shared" si="10"/>
        <v>1.4500000000000001E-2</v>
      </c>
    </row>
    <row r="23" spans="1:6">
      <c r="A23" s="82" t="s">
        <v>7479</v>
      </c>
      <c r="B23" s="51" t="s">
        <v>132</v>
      </c>
      <c r="C23" s="34">
        <v>8.0000000000000002E-3</v>
      </c>
      <c r="D23" s="34">
        <v>2E-3</v>
      </c>
      <c r="E23" s="34">
        <v>0</v>
      </c>
      <c r="F23" s="34">
        <f t="shared" si="10"/>
        <v>0.01</v>
      </c>
    </row>
    <row r="24" spans="1:6">
      <c r="A24" s="82" t="s">
        <v>7482</v>
      </c>
      <c r="B24" s="51" t="s">
        <v>7312</v>
      </c>
      <c r="C24" s="34">
        <v>0.01</v>
      </c>
      <c r="D24" s="34">
        <v>2.8E-3</v>
      </c>
      <c r="E24" s="34">
        <v>0</v>
      </c>
      <c r="F24" s="34">
        <f t="shared" si="10"/>
        <v>1.2800000000000001E-2</v>
      </c>
    </row>
    <row r="25" spans="1:6">
      <c r="A25" s="82" t="s">
        <v>7483</v>
      </c>
      <c r="B25" s="51" t="s">
        <v>7486</v>
      </c>
      <c r="C25" s="34">
        <v>5.0000000000000001E-3</v>
      </c>
      <c r="D25" s="34">
        <v>1E-3</v>
      </c>
      <c r="E25" s="34">
        <v>0</v>
      </c>
      <c r="F25" s="34">
        <f t="shared" ref="F25" si="11">SUM(C25:E25)</f>
        <v>6.0000000000000001E-3</v>
      </c>
    </row>
    <row r="26" spans="1:6">
      <c r="A26" s="82" t="s">
        <v>7484</v>
      </c>
      <c r="B26" s="51">
        <v>340001</v>
      </c>
      <c r="C26" s="34">
        <v>1.3000000000000001E-2</v>
      </c>
      <c r="D26" s="34">
        <v>2.5000000000000001E-3</v>
      </c>
      <c r="E26" s="34">
        <v>0</v>
      </c>
      <c r="F26" s="34">
        <f t="shared" ref="F26:F29" si="12">SUM(C26:E26)</f>
        <v>1.5500000000000002E-2</v>
      </c>
    </row>
    <row r="27" spans="1:6">
      <c r="A27" s="82" t="s">
        <v>7487</v>
      </c>
      <c r="B27" s="51">
        <v>110027</v>
      </c>
      <c r="C27" s="34">
        <v>7.0000000000000001E-3</v>
      </c>
      <c r="D27" s="34">
        <v>2E-3</v>
      </c>
      <c r="E27" s="34">
        <v>0</v>
      </c>
      <c r="F27" s="34">
        <f t="shared" si="12"/>
        <v>9.0000000000000011E-3</v>
      </c>
    </row>
    <row r="28" spans="1:6">
      <c r="A28" s="82" t="s">
        <v>7485</v>
      </c>
      <c r="B28" s="51">
        <v>519977</v>
      </c>
      <c r="C28" s="34">
        <v>7.0000000000000001E-3</v>
      </c>
      <c r="D28" s="34">
        <v>2E-3</v>
      </c>
      <c r="E28" s="34">
        <v>0</v>
      </c>
      <c r="F28" s="34">
        <f t="shared" si="12"/>
        <v>9.0000000000000011E-3</v>
      </c>
    </row>
    <row r="29" spans="1:6">
      <c r="A29" s="82" t="s">
        <v>7488</v>
      </c>
      <c r="B29" s="51" t="s">
        <v>7315</v>
      </c>
      <c r="C29" s="34">
        <v>7.4999999999999997E-3</v>
      </c>
      <c r="D29" s="34">
        <v>2.2000000000000001E-3</v>
      </c>
      <c r="E29" s="34">
        <v>0</v>
      </c>
      <c r="F29" s="34">
        <f t="shared" si="12"/>
        <v>9.7000000000000003E-3</v>
      </c>
    </row>
    <row r="30" spans="1:6">
      <c r="B30" s="27"/>
    </row>
    <row r="31" spans="1:6">
      <c r="B31" s="27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2019-04-13T12:37:34Z</dcterms:modified>
</cp:coreProperties>
</file>