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1600" windowHeight="3708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7" i="1" l="1"/>
  <c r="S68" i="1"/>
  <c r="S69" i="1"/>
  <c r="S70" i="1"/>
  <c r="S71" i="1"/>
  <c r="S72" i="1"/>
  <c r="S73" i="1"/>
  <c r="S74" i="1"/>
  <c r="S75" i="1"/>
  <c r="S76" i="1"/>
  <c r="S66" i="1"/>
  <c r="R76" i="1"/>
  <c r="R75" i="1"/>
  <c r="R74" i="1"/>
  <c r="R73" i="1"/>
  <c r="R67" i="1"/>
  <c r="R68" i="1"/>
  <c r="R69" i="1"/>
  <c r="R70" i="1"/>
  <c r="R71" i="1"/>
  <c r="R72" i="1"/>
  <c r="R66" i="1"/>
  <c r="R6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4" i="1"/>
  <c r="C11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0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3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9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2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4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C58" i="7"/>
  <c r="T13" i="1"/>
  <c r="H4" i="1"/>
  <c r="J4" i="1"/>
  <c r="H18" i="1"/>
  <c r="J18" i="1"/>
  <c r="H24" i="1"/>
  <c r="J24" i="1"/>
  <c r="H30" i="1"/>
  <c r="J30" i="1"/>
  <c r="T20" i="1"/>
  <c r="H3" i="1"/>
  <c r="J3" i="1"/>
  <c r="T21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T34" i="1"/>
  <c r="H45" i="1"/>
  <c r="J45" i="1"/>
  <c r="H46" i="1"/>
  <c r="J46" i="1"/>
  <c r="T15" i="1"/>
  <c r="H47" i="1"/>
  <c r="J47" i="1"/>
  <c r="H48" i="1"/>
  <c r="J48" i="1"/>
  <c r="H49" i="1"/>
  <c r="J49" i="1"/>
  <c r="H51" i="1"/>
  <c r="J51" i="1"/>
  <c r="T18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T14" i="1"/>
  <c r="H60" i="1"/>
  <c r="J60" i="1"/>
  <c r="H62" i="1"/>
  <c r="J62" i="1"/>
  <c r="H64" i="1"/>
  <c r="J64" i="1"/>
  <c r="H65" i="1"/>
  <c r="J65" i="1"/>
  <c r="H66" i="1"/>
  <c r="J66" i="1"/>
  <c r="H67" i="1"/>
  <c r="J67" i="1"/>
  <c r="H68" i="1"/>
  <c r="J68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T31" i="1"/>
  <c r="H83" i="1"/>
  <c r="J83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X13" i="1"/>
  <c r="H28" i="4"/>
  <c r="L2" i="7"/>
  <c r="N2" i="7"/>
  <c r="K2" i="7"/>
  <c r="E2" i="7"/>
  <c r="X15" i="1"/>
  <c r="H29" i="4"/>
  <c r="L3" i="7"/>
  <c r="N3" i="7"/>
  <c r="K3" i="7"/>
  <c r="E6" i="7"/>
  <c r="X16" i="1"/>
  <c r="H30" i="4"/>
  <c r="L4" i="7"/>
  <c r="N4" i="7"/>
  <c r="K4" i="7"/>
  <c r="E10" i="7"/>
  <c r="X17" i="1"/>
  <c r="H31" i="4"/>
  <c r="L5" i="7"/>
  <c r="N5" i="7"/>
  <c r="K5" i="7"/>
  <c r="E14" i="7"/>
  <c r="X18" i="1"/>
  <c r="H32" i="4"/>
  <c r="L6" i="7"/>
  <c r="N6" i="7"/>
  <c r="K6" i="7"/>
  <c r="E18" i="7"/>
  <c r="X19" i="1"/>
  <c r="H33" i="4"/>
  <c r="L7" i="7"/>
  <c r="N7" i="7"/>
  <c r="K7" i="7"/>
  <c r="E22" i="7"/>
  <c r="X21" i="1"/>
  <c r="H34" i="4"/>
  <c r="L8" i="7"/>
  <c r="N8" i="7"/>
  <c r="K8" i="7"/>
  <c r="E26" i="7"/>
  <c r="X23" i="1"/>
  <c r="H35" i="4"/>
  <c r="L9" i="7"/>
  <c r="N9" i="7"/>
  <c r="K9" i="7"/>
  <c r="E30" i="7"/>
  <c r="X25" i="1"/>
  <c r="H36" i="4"/>
  <c r="L10" i="7"/>
  <c r="N10" i="7"/>
  <c r="K10" i="7"/>
  <c r="E34" i="7"/>
  <c r="V34" i="1"/>
  <c r="I45" i="1"/>
  <c r="K45" i="1"/>
  <c r="I55" i="1"/>
  <c r="K55" i="1"/>
  <c r="I86" i="1"/>
  <c r="K86" i="1"/>
  <c r="Y34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95" i="1"/>
  <c r="J97" i="1"/>
  <c r="J98" i="1"/>
  <c r="J100" i="1"/>
  <c r="J101" i="1"/>
  <c r="Q4" i="1"/>
  <c r="S4" i="1"/>
  <c r="Q5" i="1"/>
  <c r="S5" i="1"/>
  <c r="Q6" i="1"/>
  <c r="S6" i="1"/>
  <c r="M102" i="1"/>
  <c r="J102" i="1"/>
  <c r="J103" i="1"/>
  <c r="J104" i="1"/>
  <c r="J105" i="1"/>
  <c r="M106" i="1"/>
  <c r="J106" i="1"/>
  <c r="J107" i="1"/>
  <c r="J108" i="1"/>
  <c r="Q12" i="7"/>
  <c r="Q3" i="7"/>
  <c r="Q4" i="7"/>
  <c r="Q5" i="7"/>
  <c r="Q6" i="7"/>
  <c r="Q7" i="7"/>
  <c r="Q8" i="7"/>
  <c r="Q9" i="7"/>
  <c r="Q10" i="7"/>
  <c r="Q11" i="7"/>
  <c r="Q2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D61" i="5"/>
  <c r="D63" i="5"/>
  <c r="I37" i="4"/>
  <c r="J37" i="4"/>
  <c r="X34" i="1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X14" i="1"/>
  <c r="X22" i="1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<sst xmlns="http://schemas.openxmlformats.org/spreadsheetml/2006/main" count="15389" uniqueCount="7461">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</sst>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>
      <alignment vertical="center"/>
    </xf>
  </cellXfs>
  <cellStyles count="85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0.2787868875</c:v>
                </c:pt>
                <c:pt idx="1">
                  <c:v>0.69876685</c:v>
                </c:pt>
                <c:pt idx="2">
                  <c:v>0.0224462625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0.0589</c:v>
                </c:pt>
                <c:pt idx="1">
                  <c:v>0.039857</c:v>
                </c:pt>
                <c:pt idx="2">
                  <c:v>0.2191108875</c:v>
                </c:pt>
                <c:pt idx="3">
                  <c:v>0.0496231625</c:v>
                </c:pt>
                <c:pt idx="4">
                  <c:v>0.0160856125</c:v>
                </c:pt>
                <c:pt idx="5">
                  <c:v>0.061076225</c:v>
                </c:pt>
                <c:pt idx="6">
                  <c:v>0.05675</c:v>
                </c:pt>
                <c:pt idx="7">
                  <c:v>0.0600690375</c:v>
                </c:pt>
                <c:pt idx="8">
                  <c:v>0.0370254125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10.67727342644151</c:v>
                </c:pt>
                <c:pt idx="1">
                  <c:v>11.5802898671311</c:v>
                </c:pt>
                <c:pt idx="2">
                  <c:v>22.28084813970768</c:v>
                </c:pt>
                <c:pt idx="3">
                  <c:v>27.92294772013791</c:v>
                </c:pt>
                <c:pt idx="4">
                  <c:v>33.00386950719282</c:v>
                </c:pt>
                <c:pt idx="5">
                  <c:v>28.26569815241686</c:v>
                </c:pt>
                <c:pt idx="6">
                  <c:v>24.04899664000034</c:v>
                </c:pt>
                <c:pt idx="7">
                  <c:v>24.73236831686119</c:v>
                </c:pt>
                <c:pt idx="8">
                  <c:v>29.31441325242159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</c:v>
                </c:pt>
                <c:pt idx="2">
                  <c:v>0.0134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0.01136524151375</c:v>
                </c:pt>
                <c:pt idx="1">
                  <c:v>0.0538114310775</c:v>
                </c:pt>
                <c:pt idx="2">
                  <c:v>0.11918286947875</c:v>
                </c:pt>
                <c:pt idx="3">
                  <c:v>0.07699272195625</c:v>
                </c:pt>
                <c:pt idx="4">
                  <c:v>0.03145693763875</c:v>
                </c:pt>
                <c:pt idx="5">
                  <c:v>0.107861590195</c:v>
                </c:pt>
                <c:pt idx="6">
                  <c:v>0.15371955681125</c:v>
                </c:pt>
                <c:pt idx="7">
                  <c:v>0.07595924050125</c:v>
                </c:pt>
                <c:pt idx="8">
                  <c:v>0.00584136701875</c:v>
                </c:pt>
                <c:pt idx="9">
                  <c:v>0.02636344835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0.01120173</c:v>
                </c:pt>
                <c:pt idx="1">
                  <c:v>0.03912599</c:v>
                </c:pt>
                <c:pt idx="2">
                  <c:v>0.10271703</c:v>
                </c:pt>
                <c:pt idx="3">
                  <c:v>0.06597825</c:v>
                </c:pt>
                <c:pt idx="4">
                  <c:v>0.03198848</c:v>
                </c:pt>
                <c:pt idx="5">
                  <c:v>0.09966585</c:v>
                </c:pt>
                <c:pt idx="6">
                  <c:v>0.18537292</c:v>
                </c:pt>
                <c:pt idx="7">
                  <c:v>0.05669875</c:v>
                </c:pt>
                <c:pt idx="8">
                  <c:v>0.00370041</c:v>
                </c:pt>
                <c:pt idx="9">
                  <c:v>0.02668409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"/>
  <sheetViews>
    <sheetView tabSelected="1" topLeftCell="K1" zoomScale="90" zoomScaleNormal="90" zoomScalePageLayoutView="90" workbookViewId="0">
      <selection activeCell="R70" sqref="R70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8.6640625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5" bestFit="1" customWidth="1"/>
    <col min="19" max="22" width="11.5" customWidth="1"/>
    <col min="23" max="23" width="9.6640625" bestFit="1" customWidth="1"/>
    <col min="25" max="25" width="11" bestFit="1" customWidth="1"/>
  </cols>
  <sheetData>
    <row r="1" spans="1:27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-7.7396257244791627E-2</v>
      </c>
      <c r="T2" s="18" t="s">
        <v>213</v>
      </c>
      <c r="U2" s="18">
        <f>(SUM(S4:S6) - SUM(Q4:Q6))/SUM(Q4:Q6)</f>
        <v>-0.12911434269459807</v>
      </c>
    </row>
    <row r="3" spans="1:27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28.798547629218277</v>
      </c>
      <c r="I3" s="21">
        <f>$F3*$V$20</f>
        <v>3.5497436992738143</v>
      </c>
      <c r="J3" s="21">
        <f t="shared" ref="J3:J66" si="0">H3*(-$M3)</f>
        <v>213109.25245621524</v>
      </c>
      <c r="K3" s="21">
        <f t="shared" ref="K3:K66" si="1">I3*(-$M3)</f>
        <v>26268.103374626226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10.146138306138306</v>
      </c>
      <c r="I4" s="21">
        <f>F4*$V$13</f>
        <v>1.2004972804972807</v>
      </c>
      <c r="J4" s="21">
        <f t="shared" si="0"/>
        <v>40178.707692307697</v>
      </c>
      <c r="K4" s="21">
        <f t="shared" si="1"/>
        <v>4753.9692307692312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-7192.57</v>
      </c>
      <c r="S4" s="69">
        <f>Q4+R4</f>
        <v>199042.54</v>
      </c>
      <c r="T4" s="26">
        <f>S4/Q4-1</f>
        <v>-3.4875584472498389E-2</v>
      </c>
    </row>
    <row r="5" spans="1:27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23.839217784117928</v>
      </c>
      <c r="I5" s="21">
        <f>E5*$V$21</f>
        <v>3.0454885877318119</v>
      </c>
      <c r="J5" s="21">
        <f t="shared" si="0"/>
        <v>94403.302425106987</v>
      </c>
      <c r="K5" s="21">
        <f t="shared" si="1"/>
        <v>12060.134807417975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-3816.44</v>
      </c>
      <c r="S5" s="69">
        <f>Q5+R5</f>
        <v>8183.5599999999995</v>
      </c>
      <c r="T5" s="26">
        <f>S5/Q5-1</f>
        <v>-0.31803666666666675</v>
      </c>
    </row>
    <row r="6" spans="1:27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-64860.06</f>
        <v>-64860.06</v>
      </c>
      <c r="S6" s="69">
        <f>Q6+R6</f>
        <v>304516.31</v>
      </c>
      <c r="T6" s="26">
        <f>S6/Q6-1</f>
        <v>-0.17559341979564091</v>
      </c>
      <c r="W6" s="72"/>
    </row>
    <row r="7" spans="1:27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30.044089420475576</v>
      </c>
      <c r="I7" s="21">
        <f>F7*$V$20</f>
        <v>3.7032706820447099</v>
      </c>
      <c r="J7" s="21">
        <f t="shared" si="0"/>
        <v>118974.59410508328</v>
      </c>
      <c r="K7" s="21">
        <f t="shared" si="1"/>
        <v>14664.951900897051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24.788314312886353</v>
      </c>
      <c r="I8" s="21">
        <f>E8*$V$21</f>
        <v>3.1667368045649074</v>
      </c>
      <c r="J8" s="21">
        <f t="shared" si="0"/>
        <v>98161.724679029954</v>
      </c>
      <c r="K8" s="21">
        <f t="shared" si="1"/>
        <v>12540.277746077034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24.678994293865905</v>
      </c>
      <c r="I10" s="21">
        <f>E10*$V$21</f>
        <v>3.1527710413694723</v>
      </c>
      <c r="J10" s="21">
        <f t="shared" si="0"/>
        <v>97728.817403708992</v>
      </c>
      <c r="K10" s="21">
        <f t="shared" si="1"/>
        <v>12484.973323823111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29.677207977207978</v>
      </c>
      <c r="I11" s="21">
        <f>F11*$V$19</f>
        <v>3.6580484330484331</v>
      </c>
      <c r="J11" s="21">
        <f t="shared" si="0"/>
        <v>118518.89777777778</v>
      </c>
      <c r="K11" s="21">
        <f t="shared" si="1"/>
        <v>14608.782222222222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43395</v>
      </c>
      <c r="T11" s="2"/>
      <c r="U11" s="2"/>
      <c r="V11" s="74"/>
      <c r="W11" s="2"/>
    </row>
    <row r="12" spans="1:27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24.9348134991119</v>
      </c>
      <c r="I12" s="21">
        <f>F12*$V$16</f>
        <v>2.2731793960923627</v>
      </c>
      <c r="J12" s="21">
        <f t="shared" si="0"/>
        <v>96936.082262877433</v>
      </c>
      <c r="K12" s="21">
        <f t="shared" si="1"/>
        <v>8837.1667566607466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29.700249287749283</v>
      </c>
      <c r="I13" s="21">
        <f>F13*$V$19</f>
        <v>3.6608885327635323</v>
      </c>
      <c r="J13" s="21">
        <f t="shared" si="0"/>
        <v>118702.98632834756</v>
      </c>
      <c r="K13" s="21">
        <f t="shared" si="1"/>
        <v>14631.473198896008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2.5739999999999998</v>
      </c>
      <c r="S13" s="57">
        <v>10.48</v>
      </c>
      <c r="T13" s="58">
        <f t="shared" ref="T13:T25" si="2">S13/R13</f>
        <v>4.0714840714840719</v>
      </c>
      <c r="U13" s="57">
        <v>1.24</v>
      </c>
      <c r="V13" s="58">
        <f>U13/R13</f>
        <v>0.48174048174048179</v>
      </c>
      <c r="W13" s="87">
        <v>0.1182</v>
      </c>
      <c r="X13" s="75">
        <f>SUMIF(C:C,"=红利",J:J)/SUMIF(C:C,"=红利",M:M)*-1</f>
        <v>10.677273426441509</v>
      </c>
      <c r="Y13" s="75">
        <f>SUMIF(C:C,"=红利",K:K)/SUMIF(C:C,"=红利",M:M)*-1</f>
        <v>1.2633415122888809</v>
      </c>
      <c r="Z13" s="59">
        <f>(SUMIF(C:C,"=红利",M:M)*-1)/$Q$2</f>
        <v>5.8900000000000001E-2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23.395152276567174</v>
      </c>
      <c r="I14" s="21">
        <f>F14*$V$16</f>
        <v>2.1328163583589657</v>
      </c>
      <c r="J14" s="21">
        <f t="shared" si="0"/>
        <v>85317.441322185172</v>
      </c>
      <c r="K14" s="21">
        <f t="shared" si="1"/>
        <v>7777.9546956634767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2.593</v>
      </c>
      <c r="S14" s="57">
        <v>9.93</v>
      </c>
      <c r="T14" s="58">
        <f t="shared" si="2"/>
        <v>3.8295410721172387</v>
      </c>
      <c r="U14" s="57">
        <v>1.24</v>
      </c>
      <c r="V14" s="58">
        <f t="shared" ref="V14:V34" si="3">U14/R14</f>
        <v>0.47821056691091401</v>
      </c>
      <c r="W14" s="87">
        <v>0.125</v>
      </c>
      <c r="X14" s="75">
        <f>SUMIF(C:C,"=50ETF",J:J)/SUMIF(C:C,"=50ETF",M:M)*-1</f>
        <v>9.1372849980717312</v>
      </c>
      <c r="Y14" s="75">
        <f>SUMIF(C:C,"=50ETF",K:K)/SUMIF(C:C,"=50ETF",M:M)*-1</f>
        <v>1.1410104126494409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24.743592486923443</v>
      </c>
      <c r="I15" s="21">
        <f>E15*$V$21</f>
        <v>3.1610235378031386</v>
      </c>
      <c r="J15" s="21">
        <f t="shared" si="0"/>
        <v>195969.25249643368</v>
      </c>
      <c r="K15" s="21">
        <f t="shared" si="1"/>
        <v>25035.306419400858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3.3349000000000002</v>
      </c>
      <c r="S15" s="57">
        <v>11.18</v>
      </c>
      <c r="T15" s="58">
        <f t="shared" si="2"/>
        <v>3.352424360550541</v>
      </c>
      <c r="U15" s="57">
        <v>1.39</v>
      </c>
      <c r="V15" s="58">
        <f t="shared" si="3"/>
        <v>0.41680410207202612</v>
      </c>
      <c r="W15" s="87">
        <v>0.1244</v>
      </c>
      <c r="X15" s="75">
        <f>SUMIF(C:C,"=300ETF",J:J)/SUMIF(C:C,"=300ETF",M:M)*-1</f>
        <v>11.580289867131096</v>
      </c>
      <c r="Y15" s="75">
        <f>SUMIF(C:C,"=300ETF",K:K)/SUMIF(C:C,"=300ETF",M:M)*-1</f>
        <v>1.4397677026218447</v>
      </c>
      <c r="Z15" s="59">
        <f>(SUMIF(C:C,"=300ETF",M:M)*-1)/$Q$2</f>
        <v>3.9856999999999997E-2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28.939886039886041</v>
      </c>
      <c r="I16" s="21">
        <f>F16*$V$19</f>
        <v>3.5671652421652418</v>
      </c>
      <c r="J16" s="21">
        <f t="shared" si="0"/>
        <v>112680.34028490029</v>
      </c>
      <c r="K16" s="21">
        <f t="shared" si="1"/>
        <v>13889.114586894586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4.6166</v>
      </c>
      <c r="S16" s="57">
        <v>17.77</v>
      </c>
      <c r="T16" s="58">
        <f t="shared" si="2"/>
        <v>3.8491530563618248</v>
      </c>
      <c r="U16" s="57">
        <v>1.62</v>
      </c>
      <c r="V16" s="58">
        <f t="shared" si="3"/>
        <v>0.35090759433349222</v>
      </c>
      <c r="W16" s="87">
        <v>9.1200000000000003E-2</v>
      </c>
      <c r="X16" s="75">
        <f>SUMIF(C:C,"=500ETF",J:J)/SUMIF(C:C,"=500ETF",M:M)*-1</f>
        <v>22.280848139707675</v>
      </c>
      <c r="Y16" s="75">
        <f>SUMIF(C:C,"=500ETF",K:K)/SUMIF(C:C,"=500ETF",M:M)*-1</f>
        <v>2.0312309502716057</v>
      </c>
      <c r="Z16" s="59">
        <f>(SUMIF(C:C,"=500ETF",M:M)*-1)/$Q$2</f>
        <v>0.21911088749999999</v>
      </c>
      <c r="AA16" s="2"/>
    </row>
    <row r="17" spans="1:27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0.53349999999999997</v>
      </c>
      <c r="S17" s="57">
        <v>20.3</v>
      </c>
      <c r="T17" s="58">
        <f t="shared" si="2"/>
        <v>38.050609184629806</v>
      </c>
      <c r="U17" s="57">
        <v>1.83</v>
      </c>
      <c r="V17" s="58">
        <f t="shared" si="3"/>
        <v>3.4301780693533273</v>
      </c>
      <c r="W17" s="87">
        <v>9.0200000000000002E-2</v>
      </c>
      <c r="X17" s="75">
        <f>SUMIF(C:C,"=1000ETF",J:J)/SUMIF(C:C,"=1000ETF",M:M)*-1</f>
        <v>27.922947720137909</v>
      </c>
      <c r="Y17" s="75">
        <f>SUMIF(C:C,"=1000ETF",K:K)/SUMIF(C:C,"=1000ETF",M:M)*-1</f>
        <v>2.517191838810461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10.33749805749806</v>
      </c>
      <c r="I18" s="21">
        <f>F18*$V$13</f>
        <v>1.2231390831390834</v>
      </c>
      <c r="J18" s="21">
        <f t="shared" si="0"/>
        <v>40936.492307692315</v>
      </c>
      <c r="K18" s="21">
        <f t="shared" si="1"/>
        <v>4843.6307692307701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1.2555000000000001</v>
      </c>
      <c r="S18" s="57">
        <v>29.56</v>
      </c>
      <c r="T18" s="58">
        <f t="shared" si="2"/>
        <v>23.544404619673436</v>
      </c>
      <c r="U18" s="57">
        <v>3.51</v>
      </c>
      <c r="V18" s="58">
        <f t="shared" si="3"/>
        <v>2.7956989247311825</v>
      </c>
      <c r="W18" s="87">
        <v>0.11890000000000001</v>
      </c>
      <c r="X18" s="75">
        <f>SUMIF(C:C,"=创业板",J:J)/SUMIF(C:C,"=创业板",M:M)*-1</f>
        <v>33.003869507192817</v>
      </c>
      <c r="Y18" s="75">
        <f>SUMIF(C:C,"=创业板",K:K)/SUMIF(C:C,"=创业板",M:M)*-1</f>
        <v>3.9189303778838558</v>
      </c>
      <c r="Z18" s="59">
        <f>(SUMIF(C:C,"=创业板",M:M)*-1)/$Q$2</f>
        <v>1.6085612499999999E-2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1.1232</v>
      </c>
      <c r="S19" s="57">
        <v>25.88</v>
      </c>
      <c r="T19" s="58">
        <f t="shared" si="2"/>
        <v>23.041310541310541</v>
      </c>
      <c r="U19" s="57">
        <v>3.19</v>
      </c>
      <c r="V19" s="58">
        <f t="shared" si="3"/>
        <v>2.8400997150997149</v>
      </c>
      <c r="W19" s="87">
        <v>0.1232</v>
      </c>
      <c r="X19" s="75">
        <f>SUMIF(C:C,"=医药",J:J)/SUMIF(C:C,"=医药",M:M)*-1</f>
        <v>28.265698152416856</v>
      </c>
      <c r="Y19" s="75">
        <f>SUMIF(C:C,"=医药",K:K)/SUMIF(C:C,"=医药",M:M)*-1</f>
        <v>3.4840640303790487</v>
      </c>
      <c r="Z19" s="98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25.346672876142616</v>
      </c>
      <c r="I20" s="21">
        <f>F20*$V$16</f>
        <v>2.3107265086860465</v>
      </c>
      <c r="J20" s="21">
        <f t="shared" si="0"/>
        <v>200329.45681042326</v>
      </c>
      <c r="K20" s="21">
        <f t="shared" si="1"/>
        <v>18263.011819520863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0.70230000000000004</v>
      </c>
      <c r="S20" s="57">
        <v>25.88</v>
      </c>
      <c r="T20" s="58">
        <f t="shared" si="2"/>
        <v>36.850348853766192</v>
      </c>
      <c r="U20" s="57">
        <v>3.19</v>
      </c>
      <c r="V20" s="58">
        <f t="shared" si="3"/>
        <v>4.5422184251744264</v>
      </c>
      <c r="W20" s="87">
        <v>0.1232</v>
      </c>
      <c r="X20" s="75">
        <f>SUMIF(C:C,"=医药",J:J)/SUMIF(C:C,"=医药",M:M)*-1</f>
        <v>28.265698152416856</v>
      </c>
      <c r="Y20" s="75">
        <f>SUMIF(C:C,"=医药",K:K)/SUMIF(C:C,"=医药",M:M)*-1</f>
        <v>3.4840640303790487</v>
      </c>
      <c r="Z20" s="99"/>
      <c r="AA20" s="2"/>
    </row>
    <row r="21" spans="1:27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28.919245553056637</v>
      </c>
      <c r="I21" s="21">
        <f>F21*$V$24</f>
        <v>2.481934164792476</v>
      </c>
      <c r="J21" s="21">
        <f t="shared" si="0"/>
        <v>115676.98221222655</v>
      </c>
      <c r="K21" s="21">
        <f t="shared" si="1"/>
        <v>9927.7366591699047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0.84119999999999995</v>
      </c>
      <c r="S21" s="57">
        <v>20.9</v>
      </c>
      <c r="T21" s="58">
        <f t="shared" si="2"/>
        <v>24.845458868283405</v>
      </c>
      <c r="U21" s="57">
        <v>2.67</v>
      </c>
      <c r="V21" s="58">
        <f t="shared" si="3"/>
        <v>3.1740370898716121</v>
      </c>
      <c r="W21" s="87">
        <v>0.12759999999999999</v>
      </c>
      <c r="X21" s="75">
        <f>SUMIF(C:C,"=养老",J:J)/SUMIF(C:C,"=养老",M:M)*-1</f>
        <v>24.048996640000336</v>
      </c>
      <c r="Y21" s="75">
        <f>SUMIF(C:C,"=养老",K:K)/SUMIF(C:C,"=养老",M:M)*-1</f>
        <v>3.0262463723943771</v>
      </c>
      <c r="Z21" s="59">
        <f>(SUMIF(C:C,"=养老",M:M)*-1)/$Q$2</f>
        <v>5.6750000000000002E-2</v>
      </c>
      <c r="AA21" s="2"/>
    </row>
    <row r="22" spans="1:27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24.788545682970152</v>
      </c>
      <c r="I22" s="21">
        <f t="shared" ref="I22:I23" si="4">F22*$V$16</f>
        <v>2.2598449075076901</v>
      </c>
      <c r="J22" s="21">
        <f t="shared" si="0"/>
        <v>95802.027699172555</v>
      </c>
      <c r="K22" s="21">
        <f t="shared" si="1"/>
        <v>8733.7808031884961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0.70660000000000001</v>
      </c>
      <c r="S22" s="57">
        <v>19.18</v>
      </c>
      <c r="T22" s="58">
        <f t="shared" si="2"/>
        <v>27.144070195301442</v>
      </c>
      <c r="U22" s="57">
        <v>1.17</v>
      </c>
      <c r="V22" s="58">
        <f t="shared" si="3"/>
        <v>1.6558165864704215</v>
      </c>
      <c r="W22" s="87">
        <v>6.0999999999999999E-2</v>
      </c>
      <c r="X22" s="75">
        <f>SUMIF(C:C,"=证券",J:J)/SUMIF(C:C,"=证券",M:M)*-1</f>
        <v>21.630582658274033</v>
      </c>
      <c r="Y22" s="75">
        <f>SUMIF(C:C,"=证券",K:K)/SUMIF(C:C,"=证券",M:M)*-1</f>
        <v>1.31948809750681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25.304332192522637</v>
      </c>
      <c r="I23" s="21">
        <f t="shared" si="4"/>
        <v>2.306866525148378</v>
      </c>
      <c r="J23" s="21">
        <f t="shared" si="0"/>
        <v>99830.398322618377</v>
      </c>
      <c r="K23" s="21">
        <f t="shared" si="1"/>
        <v>9101.0267463501295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0.64270000000000005</v>
      </c>
      <c r="S23" s="57">
        <v>18.41</v>
      </c>
      <c r="T23" s="58">
        <f t="shared" si="2"/>
        <v>28.644779835070793</v>
      </c>
      <c r="U23" s="57">
        <v>1.58</v>
      </c>
      <c r="V23" s="58">
        <f t="shared" si="3"/>
        <v>2.4583787147969502</v>
      </c>
      <c r="W23" s="87">
        <v>8.5900000000000004E-2</v>
      </c>
      <c r="X23" s="75">
        <f>SUMIF(C:C,"=环保",J:J)/SUMIF(C:C,"=环保",M:M)*-1</f>
        <v>24.732368316861187</v>
      </c>
      <c r="Y23" s="75">
        <f>SUMIF(C:C,"=环保",K:K)/SUMIF(C:C,"=环保",M:M)*-1</f>
        <v>2.1226041249669025</v>
      </c>
      <c r="Z23" s="98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11.501942501942503</v>
      </c>
      <c r="I24" s="21">
        <f>F24*$V$13</f>
        <v>1.3609168609168611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0.48909999999999998</v>
      </c>
      <c r="S24" s="57">
        <v>18.41</v>
      </c>
      <c r="T24" s="58">
        <f t="shared" si="2"/>
        <v>37.640564301778781</v>
      </c>
      <c r="U24" s="57">
        <v>1.58</v>
      </c>
      <c r="V24" s="58">
        <f t="shared" si="3"/>
        <v>3.2304232263340831</v>
      </c>
      <c r="W24" s="87">
        <v>8.5900000000000004E-2</v>
      </c>
      <c r="X24" s="75">
        <f>SUMIF(C:C,"=环保",J:J)/SUMIF(C:C,"=环保",M:M)*-1</f>
        <v>24.732368316861187</v>
      </c>
      <c r="Y24" s="75">
        <f>SUMIF(C:C,"=环保",K:K)/SUMIF(C:C,"=环保",M:M)*-1</f>
        <v>2.1226041249669025</v>
      </c>
      <c r="Z24" s="99"/>
      <c r="AA24" s="2"/>
    </row>
    <row r="25" spans="1:27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33.323312791222008</v>
      </c>
      <c r="I25" s="21">
        <f>F25*$V$25</f>
        <v>3.8478881707500379</v>
      </c>
      <c r="J25" s="21">
        <f t="shared" si="0"/>
        <v>133319.90981512101</v>
      </c>
      <c r="K25" s="21">
        <f t="shared" si="1"/>
        <v>15394.630993536752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0.6653</v>
      </c>
      <c r="S25" s="57">
        <v>22.17</v>
      </c>
      <c r="T25" s="58">
        <f t="shared" si="2"/>
        <v>33.323312791222008</v>
      </c>
      <c r="U25" s="57">
        <v>2.56</v>
      </c>
      <c r="V25" s="58">
        <f t="shared" si="3"/>
        <v>3.8478881707500379</v>
      </c>
      <c r="W25" s="87">
        <v>0.1157</v>
      </c>
      <c r="X25" s="75">
        <f>SUMIF(C:C,"=传媒",J:J)/SUMIF(C:C,"=传媒",M:M)*-1</f>
        <v>29.314413252421595</v>
      </c>
      <c r="Y25" s="75">
        <f>SUMIF(C:C,"=传媒",K:K)/SUMIF(C:C,"=传媒",M:M)*-1</f>
        <v>3.3849750981596425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24.827037213533771</v>
      </c>
      <c r="I26" s="21">
        <f>F26*$V$16</f>
        <v>2.263353983451025</v>
      </c>
      <c r="J26" s="21">
        <f t="shared" si="0"/>
        <v>96099.750835030107</v>
      </c>
      <c r="K26" s="21">
        <f t="shared" si="1"/>
        <v>8760.9226985227233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0.877</v>
      </c>
      <c r="S26" s="57">
        <v>9.93</v>
      </c>
      <c r="T26" s="58">
        <f t="shared" ref="T26:T34" si="5">S26/R26</f>
        <v>11.322690992018243</v>
      </c>
      <c r="U26" s="57">
        <v>1.24</v>
      </c>
      <c r="V26" s="58">
        <f t="shared" si="3"/>
        <v>1.4139110604332954</v>
      </c>
      <c r="W26" s="87">
        <v>0.125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26.299462277652832</v>
      </c>
      <c r="I27" s="21">
        <f>F27*$V$24</f>
        <v>2.2570967082396236</v>
      </c>
      <c r="J27" s="21">
        <f t="shared" si="0"/>
        <v>105197.84911061134</v>
      </c>
      <c r="K27" s="21">
        <f t="shared" si="1"/>
        <v>9028.3868329584948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1.6791</v>
      </c>
      <c r="S27" s="57">
        <v>17.77</v>
      </c>
      <c r="T27" s="58">
        <f t="shared" si="5"/>
        <v>10.583050443690071</v>
      </c>
      <c r="U27" s="57">
        <v>1.62</v>
      </c>
      <c r="V27" s="58">
        <f t="shared" si="3"/>
        <v>0.96480257280686088</v>
      </c>
      <c r="W27" s="87">
        <v>9.1200000000000003E-2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23.26043191959451</v>
      </c>
      <c r="I28" s="21">
        <f t="shared" ref="I28:I29" si="6">F28*$V$16</f>
        <v>2.1205345925572936</v>
      </c>
      <c r="J28" s="21">
        <f t="shared" si="0"/>
        <v>182768.14599525629</v>
      </c>
      <c r="K28" s="21">
        <f t="shared" si="1"/>
        <v>16662.036944981159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0.47899999999999998</v>
      </c>
      <c r="S28" s="57">
        <v>17.77</v>
      </c>
      <c r="T28" s="58">
        <f t="shared" si="5"/>
        <v>37.09812108559499</v>
      </c>
      <c r="U28" s="57">
        <v>1.62</v>
      </c>
      <c r="V28" s="58">
        <f t="shared" si="3"/>
        <v>3.3820459290187896</v>
      </c>
      <c r="W28" s="87">
        <v>9.1200000000000003E-2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23.152655634016376</v>
      </c>
      <c r="I29" s="21">
        <f t="shared" si="6"/>
        <v>2.1107091799159554</v>
      </c>
      <c r="J29" s="21">
        <f t="shared" si="0"/>
        <v>1156115.8197036781</v>
      </c>
      <c r="K29" s="21">
        <f t="shared" si="1"/>
        <v>105397.16533032968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1.6970000000000001</v>
      </c>
      <c r="S29" s="57">
        <v>17.77</v>
      </c>
      <c r="T29" s="58">
        <f t="shared" si="5"/>
        <v>10.471420153211549</v>
      </c>
      <c r="U29" s="57">
        <v>1.62</v>
      </c>
      <c r="V29" s="58">
        <f t="shared" si="3"/>
        <v>0.95462581025338833</v>
      </c>
      <c r="W29" s="87">
        <v>9.1200000000000003E-2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10.940077700077701</v>
      </c>
      <c r="I30" s="21">
        <f>F30*$V$13</f>
        <v>1.2944366744366744</v>
      </c>
      <c r="J30" s="21">
        <f t="shared" si="0"/>
        <v>218801.55400155403</v>
      </c>
      <c r="K30" s="21">
        <f t="shared" si="1"/>
        <v>25888.733488733487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0.76419999999999999</v>
      </c>
      <c r="S30" s="57">
        <v>17.77</v>
      </c>
      <c r="T30" s="58">
        <f t="shared" si="5"/>
        <v>23.253075111227428</v>
      </c>
      <c r="U30" s="57">
        <v>1.62</v>
      </c>
      <c r="V30" s="58">
        <f t="shared" si="3"/>
        <v>2.1198639099712118</v>
      </c>
      <c r="W30" s="87">
        <v>9.1200000000000003E-2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29.527272727272731</v>
      </c>
      <c r="I31" s="21">
        <f>F31*$V$17</f>
        <v>2.6618181818181821</v>
      </c>
      <c r="J31" s="21">
        <f t="shared" si="0"/>
        <v>591277.73090909095</v>
      </c>
      <c r="K31" s="21">
        <f t="shared" si="1"/>
        <v>53302.376727272727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1.641</v>
      </c>
      <c r="S31" s="57">
        <v>11.18</v>
      </c>
      <c r="T31" s="58">
        <f t="shared" si="5"/>
        <v>6.8129189518586228</v>
      </c>
      <c r="U31" s="57">
        <v>1.39</v>
      </c>
      <c r="V31" s="58">
        <f t="shared" si="3"/>
        <v>0.84704448507007912</v>
      </c>
      <c r="W31" s="87">
        <v>0.1244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28.918462980318655</v>
      </c>
      <c r="I32" s="21">
        <f>F32*$V$17</f>
        <v>2.6069353327085287</v>
      </c>
      <c r="J32" s="21">
        <f t="shared" si="0"/>
        <v>290168.14672914718</v>
      </c>
      <c r="K32" s="21">
        <f t="shared" si="1"/>
        <v>26158.015197750705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1.089</v>
      </c>
      <c r="S32" s="57">
        <v>11.18</v>
      </c>
      <c r="T32" s="58">
        <f t="shared" si="5"/>
        <v>10.266299357208448</v>
      </c>
      <c r="U32" s="57">
        <v>1.39</v>
      </c>
      <c r="V32" s="58">
        <f t="shared" si="3"/>
        <v>1.2764003673094582</v>
      </c>
      <c r="W32" s="87">
        <v>0.1244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0.66420000000000001</v>
      </c>
      <c r="S33" s="57">
        <v>22.17</v>
      </c>
      <c r="T33" s="58">
        <f t="shared" si="5"/>
        <v>33.378500451671187</v>
      </c>
      <c r="U33" s="57">
        <v>2.56</v>
      </c>
      <c r="V33" s="58">
        <f t="shared" si="3"/>
        <v>3.8542607648298706</v>
      </c>
      <c r="W33" s="87">
        <v>0.1157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25.86659578818238</v>
      </c>
      <c r="I34" s="21">
        <f>F34*$V$24</f>
        <v>2.2199468411367822</v>
      </c>
      <c r="J34" s="21">
        <f t="shared" si="0"/>
        <v>103466.38315272953</v>
      </c>
      <c r="K34" s="21">
        <f t="shared" si="1"/>
        <v>8879.7873645471282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0.90820000000000001</v>
      </c>
      <c r="S34" s="57">
        <v>7.83</v>
      </c>
      <c r="T34" s="58">
        <f t="shared" si="5"/>
        <v>8.6214490200396394</v>
      </c>
      <c r="U34" s="57">
        <v>1.0900000000000001</v>
      </c>
      <c r="V34" s="58">
        <f t="shared" si="3"/>
        <v>1.2001761726491962</v>
      </c>
      <c r="W34" s="87"/>
      <c r="X34" s="75">
        <f>SUMIF(C:C,"=金融地产",J:J)/SUMIF(C:C,"=金融地产",M:M)*-1</f>
        <v>7.8288504734639943</v>
      </c>
      <c r="Y34" s="75">
        <f>SUMIF(C:C,"=金融地产",K:K)/SUMIF(C:C,"=金融地产",M:M)*-1</f>
        <v>1.0898399765103135</v>
      </c>
      <c r="Z34" s="59">
        <f>(SUMIF(C:C,"=金融地产",M:M)*-1)/$Q$2</f>
        <v>2.4E-2</v>
      </c>
      <c r="AA34" s="2"/>
    </row>
    <row r="35" spans="1:27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25.751657071728644</v>
      </c>
      <c r="I35" s="21">
        <f>F35*$V$23</f>
        <v>2.2100824646024582</v>
      </c>
      <c r="J35" s="21">
        <f t="shared" si="0"/>
        <v>104199.18752590632</v>
      </c>
      <c r="K35" s="21">
        <f t="shared" si="1"/>
        <v>8942.6787773455726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1.115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1.4267000000000001</v>
      </c>
      <c r="S36" s="57">
        <v>9.42</v>
      </c>
      <c r="T36" s="58">
        <f>S36/R36</f>
        <v>6.6026494708067567</v>
      </c>
      <c r="U36" s="57">
        <v>1.07</v>
      </c>
      <c r="V36" s="58">
        <f>U36/R36</f>
        <v>0.74998247704492882</v>
      </c>
      <c r="W36" s="58"/>
      <c r="X36" s="2"/>
      <c r="Y36" s="74"/>
      <c r="Z36" s="59">
        <v>0</v>
      </c>
    </row>
    <row r="37" spans="1:27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31.523853900496018</v>
      </c>
      <c r="I37" s="21">
        <f>F37*$V$25</f>
        <v>3.6401022095295357</v>
      </c>
      <c r="J37" s="21">
        <f t="shared" si="0"/>
        <v>202827.31314264244</v>
      </c>
      <c r="K37" s="21">
        <f t="shared" si="1"/>
        <v>23420.74522531189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1.0053000000000001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26.295907888594989</v>
      </c>
      <c r="I38" s="21">
        <f>F38*$V$23</f>
        <v>2.2567916601836004</v>
      </c>
      <c r="J38" s="21">
        <f t="shared" si="0"/>
        <v>504619.52421845339</v>
      </c>
      <c r="K38" s="21">
        <f t="shared" si="1"/>
        <v>43307.922230589698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1.429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3.6154999999999999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24.131078403622983</v>
      </c>
      <c r="I40" s="21">
        <f>F40*$V$22</f>
        <v>1.4720209453722048</v>
      </c>
      <c r="J40" s="21">
        <f t="shared" si="0"/>
        <v>308978.18885253323</v>
      </c>
      <c r="K40" s="21">
        <f t="shared" si="1"/>
        <v>18847.99170789697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1.0309999999999999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31.523853900496018</v>
      </c>
      <c r="I41" s="21">
        <f>F41*$V$25</f>
        <v>3.6401022095295357</v>
      </c>
      <c r="J41" s="21">
        <f t="shared" si="0"/>
        <v>202827.31314264244</v>
      </c>
      <c r="K41" s="21">
        <f t="shared" si="1"/>
        <v>23420.74522531189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23.110314950396393</v>
      </c>
      <c r="I42" s="21">
        <f>F42*$V$16</f>
        <v>2.1068491963782869</v>
      </c>
      <c r="J42" s="21">
        <f t="shared" si="0"/>
        <v>152660.26967413246</v>
      </c>
      <c r="K42" s="21">
        <f t="shared" si="1"/>
        <v>13917.255873499978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22.740796256985661</v>
      </c>
      <c r="I44" s="21">
        <f>F44*$V$16</f>
        <v>2.0731620673222722</v>
      </c>
      <c r="J44" s="21">
        <f t="shared" si="0"/>
        <v>147817.44975003251</v>
      </c>
      <c r="K44" s="21">
        <f t="shared" si="1"/>
        <v>13475.760753801502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8.1386478749174191</v>
      </c>
      <c r="I45" s="21">
        <f>F45*$V$34</f>
        <v>1.1329663069808411</v>
      </c>
      <c r="J45" s="21">
        <f t="shared" si="0"/>
        <v>52087.346399471484</v>
      </c>
      <c r="K45" s="21">
        <f t="shared" si="1"/>
        <v>7250.9843646773834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22.328936879954945</v>
      </c>
      <c r="I46" s="21">
        <f>F46*$V$16</f>
        <v>2.0356149547285884</v>
      </c>
      <c r="J46" s="21">
        <f t="shared" si="0"/>
        <v>427535.05720229173</v>
      </c>
      <c r="K46" s="21">
        <f t="shared" si="1"/>
        <v>38976.1841681324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12.21288194548562</v>
      </c>
      <c r="I47" s="21">
        <f>F47*$V$15</f>
        <v>1.518417343848391</v>
      </c>
      <c r="J47" s="21">
        <f t="shared" si="0"/>
        <v>80100.750944675994</v>
      </c>
      <c r="K47" s="21">
        <f t="shared" si="1"/>
        <v>9958.8590172718814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21.266570636399084</v>
      </c>
      <c r="I48" s="21">
        <f t="shared" ref="I48:I49" si="7">F48*$V$16</f>
        <v>1.9387644586925448</v>
      </c>
      <c r="J48" s="21">
        <f t="shared" si="0"/>
        <v>270298.96345145785</v>
      </c>
      <c r="K48" s="21">
        <f t="shared" si="1"/>
        <v>24641.773820560593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20.835465494086559</v>
      </c>
      <c r="I49" s="21">
        <f t="shared" si="7"/>
        <v>1.8994628081271936</v>
      </c>
      <c r="J49" s="21">
        <f t="shared" si="0"/>
        <v>135365.93576853097</v>
      </c>
      <c r="K49" s="21">
        <f t="shared" si="1"/>
        <v>12340.619918121563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20.87378998018681</v>
      </c>
      <c r="I51" s="21">
        <f>F51*$V$22</f>
        <v>1.2733229549957541</v>
      </c>
      <c r="J51" s="21">
        <f t="shared" si="0"/>
        <v>133257.85775771298</v>
      </c>
      <c r="K51" s="21">
        <f t="shared" si="1"/>
        <v>8128.8682782337937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34.563185981680604</v>
      </c>
      <c r="I52" s="21">
        <f>F52*$V$18</f>
        <v>4.1040860215053758</v>
      </c>
      <c r="J52" s="21">
        <f t="shared" si="0"/>
        <v>223295.11740278773</v>
      </c>
      <c r="K52" s="21">
        <f t="shared" si="1"/>
        <v>26514.406701075266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11.559159195178266</v>
      </c>
      <c r="I53" s="21">
        <f>F53*$V$15</f>
        <v>1.4371405439443461</v>
      </c>
      <c r="J53" s="21">
        <f t="shared" si="0"/>
        <v>71755.098986356417</v>
      </c>
      <c r="K53" s="21">
        <f t="shared" si="1"/>
        <v>8921.2511262106818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21.884611793994086</v>
      </c>
      <c r="I54" s="21">
        <f>F54*$V$23</f>
        <v>1.8782013381048701</v>
      </c>
      <c r="J54" s="21">
        <f t="shared" si="0"/>
        <v>140474.69695223277</v>
      </c>
      <c r="K54" s="21">
        <f t="shared" si="1"/>
        <v>12055.949005134589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7.3282316670336929</v>
      </c>
      <c r="I55" s="21">
        <f>F55*$V$34</f>
        <v>1.0201497467518168</v>
      </c>
      <c r="J55" s="21">
        <f t="shared" ref="J55" si="11">H55*(-$M55)</f>
        <v>46900.682669015638</v>
      </c>
      <c r="K55" s="21">
        <f t="shared" ref="K55" si="12">I55*(-$M55)</f>
        <v>6528.9583792116273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10.634716394716396</v>
      </c>
      <c r="I56" s="21">
        <f>F56*$V$13</f>
        <v>1.2583061383061385</v>
      </c>
      <c r="J56" s="21">
        <f t="shared" si="0"/>
        <v>68062.184926184927</v>
      </c>
      <c r="K56" s="21">
        <f t="shared" si="1"/>
        <v>8053.1592851592859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24.838005230622922</v>
      </c>
      <c r="I57" s="21">
        <f>E57*$V$21</f>
        <v>3.1730848787446506</v>
      </c>
      <c r="J57" s="21">
        <f t="shared" si="0"/>
        <v>158963.23347598669</v>
      </c>
      <c r="K57" s="21">
        <f t="shared" si="1"/>
        <v>20307.743223965765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10.561429681429681</v>
      </c>
      <c r="I58" s="21">
        <f>F58*$V$13</f>
        <v>1.2496348096348098</v>
      </c>
      <c r="J58" s="21">
        <f t="shared" si="0"/>
        <v>67593.14996114996</v>
      </c>
      <c r="K58" s="21">
        <f t="shared" si="1"/>
        <v>7997.6627816627824</v>
      </c>
      <c r="L58" s="7" t="s">
        <v>10</v>
      </c>
      <c r="M58" s="4">
        <v>-6400</v>
      </c>
      <c r="N58" s="4">
        <v>9.59</v>
      </c>
      <c r="O58" s="4"/>
    </row>
    <row r="59" spans="1:23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9.1372849980717312</v>
      </c>
      <c r="I60" s="21">
        <f>F60*$V$14</f>
        <v>1.1410104126494409</v>
      </c>
      <c r="J60" s="21">
        <f t="shared" si="0"/>
        <v>58876.00451222522</v>
      </c>
      <c r="K60" s="21">
        <f t="shared" si="1"/>
        <v>7352.0891838025454</v>
      </c>
      <c r="L60" s="5" t="s">
        <v>24</v>
      </c>
      <c r="M60" s="1">
        <v>-6443.49</v>
      </c>
      <c r="N60" s="4">
        <v>1.29</v>
      </c>
      <c r="O60" s="4"/>
    </row>
    <row r="61" spans="1:23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27.258469863219602</v>
      </c>
      <c r="I62" s="21">
        <f>F62*$V$25</f>
        <v>3.1475725236735306</v>
      </c>
      <c r="J62" s="21">
        <f t="shared" si="0"/>
        <v>173954.83195671128</v>
      </c>
      <c r="K62" s="21">
        <f t="shared" si="1"/>
        <v>20086.800622876897</v>
      </c>
      <c r="L62" s="5" t="s">
        <v>24</v>
      </c>
      <c r="M62" s="1">
        <v>-6381.68</v>
      </c>
      <c r="N62" s="4">
        <v>1.28</v>
      </c>
      <c r="O62" s="4"/>
    </row>
    <row r="63" spans="1:23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24.808997188378633</v>
      </c>
      <c r="I64" s="21">
        <f>F64*$V$17</f>
        <v>2.2364761012183694</v>
      </c>
      <c r="J64" s="21">
        <f t="shared" si="0"/>
        <v>80893.456682286793</v>
      </c>
      <c r="K64" s="21">
        <f t="shared" si="1"/>
        <v>7292.3657994376763</v>
      </c>
      <c r="L64" s="5" t="s">
        <v>24</v>
      </c>
      <c r="M64" s="1">
        <v>-3260.65</v>
      </c>
      <c r="N64" s="4">
        <v>0.65</v>
      </c>
      <c r="O64" s="4"/>
      <c r="R64" s="15"/>
    </row>
    <row r="65" spans="1:19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20.866258718537452</v>
      </c>
      <c r="I65" s="21">
        <f>F65*$V$16</f>
        <v>1.9022700688818615</v>
      </c>
      <c r="J65" s="21">
        <f t="shared" si="0"/>
        <v>135766.31235216392</v>
      </c>
      <c r="K65" s="21">
        <f t="shared" si="1"/>
        <v>12377.120203179831</v>
      </c>
      <c r="L65" s="5" t="s">
        <v>24</v>
      </c>
      <c r="M65" s="1">
        <v>-6506.5</v>
      </c>
      <c r="N65" s="4">
        <v>1.3</v>
      </c>
      <c r="O65" s="4"/>
      <c r="P65" s="15"/>
      <c r="Q65" t="s">
        <v>7458</v>
      </c>
      <c r="R65" s="15" t="s">
        <v>7459</v>
      </c>
      <c r="S65" t="s">
        <v>7460</v>
      </c>
    </row>
    <row r="66" spans="1:19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23.553327085285851</v>
      </c>
      <c r="I66" s="21">
        <f>F66*$V$17</f>
        <v>2.1232802249297094</v>
      </c>
      <c r="J66" s="21">
        <f t="shared" si="0"/>
        <v>75828.523351452677</v>
      </c>
      <c r="K66" s="21">
        <f t="shared" si="1"/>
        <v>6835.7732873477034</v>
      </c>
      <c r="L66" s="5" t="s">
        <v>24</v>
      </c>
      <c r="M66" s="1">
        <v>-3219.44</v>
      </c>
      <c r="N66" s="4">
        <v>0.64</v>
      </c>
      <c r="O66" s="4"/>
      <c r="P66" s="15" t="s">
        <v>215</v>
      </c>
      <c r="Q66" s="97">
        <v>3865.93</v>
      </c>
      <c r="R66" s="97">
        <f>Q66*X13/S13</f>
        <v>3938.7014940346389</v>
      </c>
      <c r="S66" s="18">
        <f>R66/Q66-1</f>
        <v>1.8823800232968368E-2</v>
      </c>
    </row>
    <row r="67" spans="1:19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19.800043321925227</v>
      </c>
      <c r="I67" s="21">
        <f>F67*$V$16</f>
        <v>1.805068665251484</v>
      </c>
      <c r="J67" s="21">
        <f t="shared" ref="J67:J82" si="15">H67*(-$M67)</f>
        <v>122246.061470866</v>
      </c>
      <c r="K67" s="21">
        <f t="shared" ref="K67:K82" si="16">I67*(-$M67)</f>
        <v>11144.54809132262</v>
      </c>
      <c r="L67" s="5" t="s">
        <v>24</v>
      </c>
      <c r="M67" s="1">
        <v>-6174.03</v>
      </c>
      <c r="N67" s="4">
        <v>1.23</v>
      </c>
      <c r="O67" s="4"/>
      <c r="P67" s="15" t="s">
        <v>7455</v>
      </c>
      <c r="Q67" s="97">
        <v>2511.85</v>
      </c>
      <c r="R67" s="97">
        <f t="shared" ref="R67:R78" si="17">Q67*X14/S14</f>
        <v>2311.3282298495947</v>
      </c>
      <c r="S67" s="18">
        <f t="shared" ref="S67:S76" si="18">R67/Q67-1</f>
        <v>-7.9830312379483348E-2</v>
      </c>
    </row>
    <row r="68" spans="1:19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11.183687666796605</v>
      </c>
      <c r="I68" s="21">
        <f>F68*$V$15</f>
        <v>1.3904584845122792</v>
      </c>
      <c r="J68" s="21">
        <f t="shared" si="15"/>
        <v>70900.889190560425</v>
      </c>
      <c r="K68" s="21">
        <f t="shared" si="16"/>
        <v>8815.0479405079604</v>
      </c>
      <c r="L68" s="5" t="s">
        <v>24</v>
      </c>
      <c r="M68" s="1">
        <v>-6339.67</v>
      </c>
      <c r="N68" s="4">
        <v>1.27</v>
      </c>
      <c r="O68" s="4"/>
      <c r="P68" s="15" t="s">
        <v>216</v>
      </c>
      <c r="Q68" s="97">
        <v>3233.63</v>
      </c>
      <c r="R68" s="97">
        <f t="shared" si="17"/>
        <v>3349.407220308688</v>
      </c>
      <c r="S68" s="18">
        <f t="shared" si="18"/>
        <v>3.5804102605643706E-2</v>
      </c>
    </row>
    <row r="69" spans="1:19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28.985968660968659</v>
      </c>
      <c r="I69" s="21">
        <f>F69*$V$19</f>
        <v>3.5728454415954416</v>
      </c>
      <c r="J69" s="21">
        <f t="shared" si="15"/>
        <v>186005.27977492876</v>
      </c>
      <c r="K69" s="21">
        <f t="shared" si="16"/>
        <v>22927.235026353275</v>
      </c>
      <c r="L69" s="5" t="s">
        <v>24</v>
      </c>
      <c r="M69" s="4">
        <v>-6417.08</v>
      </c>
      <c r="N69" s="4">
        <v>1.28</v>
      </c>
      <c r="O69" s="4"/>
      <c r="P69" s="15" t="s">
        <v>217</v>
      </c>
      <c r="Q69" s="97">
        <v>4305.4799999999996</v>
      </c>
      <c r="R69" s="97">
        <f t="shared" si="17"/>
        <v>5398.41001961444</v>
      </c>
      <c r="S69" s="100">
        <f t="shared" si="18"/>
        <v>0.25384626559975665</v>
      </c>
    </row>
    <row r="70" spans="1:19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 t="s">
        <v>218</v>
      </c>
      <c r="Q70" s="97">
        <v>4426.97</v>
      </c>
      <c r="R70" s="97">
        <f t="shared" si="17"/>
        <v>6089.3621610157106</v>
      </c>
      <c r="S70" s="100">
        <f t="shared" si="18"/>
        <v>0.37551466601664574</v>
      </c>
    </row>
    <row r="71" spans="1:19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10.553286713286715</v>
      </c>
      <c r="I71" s="21">
        <f>F71*$V$13</f>
        <v>1.2486713286713289</v>
      </c>
      <c r="J71" s="21">
        <f t="shared" si="15"/>
        <v>67541.034965034982</v>
      </c>
      <c r="K71" s="21">
        <f t="shared" si="16"/>
        <v>7991.4965034965053</v>
      </c>
      <c r="L71" s="7" t="s">
        <v>10</v>
      </c>
      <c r="M71" s="4">
        <v>-6400</v>
      </c>
      <c r="N71" s="4">
        <v>9.59</v>
      </c>
      <c r="O71" s="4"/>
      <c r="P71" s="15" t="s">
        <v>178</v>
      </c>
      <c r="Q71" s="97">
        <v>1306.53</v>
      </c>
      <c r="R71" s="97">
        <f t="shared" si="17"/>
        <v>1458.7464691215371</v>
      </c>
      <c r="S71" s="100">
        <f t="shared" si="18"/>
        <v>0.11650438116349182</v>
      </c>
    </row>
    <row r="72" spans="1:19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 t="s">
        <v>219</v>
      </c>
      <c r="Q72" s="97">
        <v>8089.84</v>
      </c>
      <c r="R72" s="97">
        <f t="shared" si="17"/>
        <v>8835.5863810412666</v>
      </c>
      <c r="S72" s="100">
        <f t="shared" si="18"/>
        <v>9.2183081623526064E-2</v>
      </c>
    </row>
    <row r="73" spans="1:19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22.301283880171184</v>
      </c>
      <c r="I73" s="21">
        <f>E73*$V$21</f>
        <v>2.8490156918687588</v>
      </c>
      <c r="J73" s="21">
        <f t="shared" si="15"/>
        <v>142728.21683309559</v>
      </c>
      <c r="K73" s="21">
        <f t="shared" si="16"/>
        <v>18233.700427960055</v>
      </c>
      <c r="L73" s="7" t="s">
        <v>10</v>
      </c>
      <c r="M73" s="4">
        <v>-6400</v>
      </c>
      <c r="N73" s="4">
        <v>7.67</v>
      </c>
      <c r="O73" s="4"/>
      <c r="P73" s="15" t="s">
        <v>220</v>
      </c>
      <c r="Q73" s="97">
        <v>6344.51</v>
      </c>
      <c r="R73" s="97">
        <f>Q73*X21/S21</f>
        <v>7300.4353910262462</v>
      </c>
      <c r="S73" s="100">
        <f t="shared" si="18"/>
        <v>0.15066969569379607</v>
      </c>
    </row>
    <row r="74" spans="1:19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28.798547629218277</v>
      </c>
      <c r="I74" s="21">
        <f>F74*$V$20</f>
        <v>3.5497436992738143</v>
      </c>
      <c r="J74" s="21">
        <f t="shared" si="15"/>
        <v>184310.70482699698</v>
      </c>
      <c r="K74" s="21">
        <f t="shared" si="16"/>
        <v>22718.359675352411</v>
      </c>
      <c r="L74" s="7" t="s">
        <v>10</v>
      </c>
      <c r="M74" s="4">
        <v>-6400</v>
      </c>
      <c r="N74" s="4">
        <v>7.67</v>
      </c>
      <c r="O74" s="4"/>
      <c r="P74" s="15" t="s">
        <v>7456</v>
      </c>
      <c r="Q74" s="97">
        <v>547.04</v>
      </c>
      <c r="R74" s="97">
        <f>Q74*X22/S22</f>
        <v>616.9339904787397</v>
      </c>
      <c r="S74" s="100">
        <f t="shared" si="18"/>
        <v>0.12776760470667536</v>
      </c>
    </row>
    <row r="75" spans="1:19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24.838005230622922</v>
      </c>
      <c r="I75" s="21">
        <f>E75*$V$21</f>
        <v>2.8464764621968621</v>
      </c>
      <c r="J75" s="21">
        <f t="shared" si="15"/>
        <v>158963.23347598669</v>
      </c>
      <c r="K75" s="21">
        <f t="shared" si="16"/>
        <v>18217.449358059919</v>
      </c>
      <c r="L75" s="7" t="s">
        <v>10</v>
      </c>
      <c r="M75" s="4">
        <v>-6400</v>
      </c>
      <c r="N75" s="4">
        <v>7.67</v>
      </c>
      <c r="O75" s="4"/>
      <c r="P75" s="15" t="s">
        <v>221</v>
      </c>
      <c r="Q75" s="97">
        <v>1053.28</v>
      </c>
      <c r="R75" s="97">
        <f>Q75*X23/S23</f>
        <v>1414.9977675602147</v>
      </c>
      <c r="S75" s="100">
        <f t="shared" si="18"/>
        <v>0.34342033225753332</v>
      </c>
    </row>
    <row r="76" spans="1:19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24.392664963174511</v>
      </c>
      <c r="I76" s="21">
        <f>F76*$V$25</f>
        <v>2.8166541409890278</v>
      </c>
      <c r="J76" s="21">
        <f t="shared" si="15"/>
        <v>155373.22623598378</v>
      </c>
      <c r="K76" s="21">
        <f t="shared" si="16"/>
        <v>17941.157382233581</v>
      </c>
      <c r="L76" s="5" t="s">
        <v>24</v>
      </c>
      <c r="M76" s="1">
        <v>-6369.67</v>
      </c>
      <c r="N76" s="4">
        <v>1.27</v>
      </c>
      <c r="O76" s="4"/>
      <c r="P76" s="15" t="s">
        <v>222</v>
      </c>
      <c r="Q76" s="97">
        <v>1115.33</v>
      </c>
      <c r="R76" s="97">
        <f>Q76*X25/S25</f>
        <v>1474.7516704024977</v>
      </c>
      <c r="S76" s="100">
        <f t="shared" si="18"/>
        <v>0.32225589771861052</v>
      </c>
    </row>
    <row r="77" spans="1:19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19.819289087207036</v>
      </c>
      <c r="I77" s="21">
        <f t="shared" ref="I77:I79" si="19">F77*$V$16</f>
        <v>1.8068232032231515</v>
      </c>
      <c r="J77" s="21">
        <f t="shared" si="15"/>
        <v>122483.99933050296</v>
      </c>
      <c r="K77" s="21">
        <f t="shared" si="16"/>
        <v>11166.239668847205</v>
      </c>
      <c r="L77" s="5" t="s">
        <v>24</v>
      </c>
      <c r="M77" s="1">
        <v>-6180.04</v>
      </c>
      <c r="N77" s="4">
        <v>1.24</v>
      </c>
      <c r="O77" s="4"/>
      <c r="P77" s="15" t="s">
        <v>7457</v>
      </c>
      <c r="Q77" s="97">
        <v>25749</v>
      </c>
      <c r="R77" s="97"/>
    </row>
    <row r="78" spans="1:19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19.753853485248882</v>
      </c>
      <c r="I78" s="21">
        <f t="shared" si="19"/>
        <v>1.800857774119482</v>
      </c>
      <c r="J78" s="21">
        <f t="shared" si="15"/>
        <v>10139.65299397825</v>
      </c>
      <c r="K78" s="21">
        <f t="shared" si="16"/>
        <v>924.38029545553002</v>
      </c>
      <c r="L78" s="5" t="s">
        <v>24</v>
      </c>
      <c r="M78" s="1">
        <v>-513.29999999999995</v>
      </c>
      <c r="N78" s="4">
        <v>0.1</v>
      </c>
      <c r="O78" s="4"/>
      <c r="P78" s="15" t="s">
        <v>184</v>
      </c>
      <c r="Q78" s="97">
        <v>11524.34</v>
      </c>
      <c r="R78" s="97"/>
    </row>
    <row r="79" spans="1:19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19.519055148810814</v>
      </c>
      <c r="I79" s="21">
        <f t="shared" si="19"/>
        <v>1.7794524108651391</v>
      </c>
      <c r="J79" s="21">
        <f t="shared" si="15"/>
        <v>128701.23241030196</v>
      </c>
      <c r="K79" s="21">
        <f t="shared" si="16"/>
        <v>11733.033005328598</v>
      </c>
      <c r="L79" s="5" t="s">
        <v>24</v>
      </c>
      <c r="M79" s="1">
        <v>-6593.62</v>
      </c>
      <c r="N79" s="4">
        <v>1.32</v>
      </c>
      <c r="O79" s="4"/>
      <c r="P79" s="15"/>
      <c r="Q79" s="97"/>
      <c r="R79" s="97"/>
    </row>
    <row r="80" spans="1:19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11.254088578368167</v>
      </c>
      <c r="I80" s="21">
        <f>F80*$V$15</f>
        <v>1.3992113706557918</v>
      </c>
      <c r="J80" s="21">
        <f t="shared" si="15"/>
        <v>71796.358412785994</v>
      </c>
      <c r="K80" s="21">
        <f t="shared" si="16"/>
        <v>8926.3808760082757</v>
      </c>
      <c r="L80" s="5" t="s">
        <v>24</v>
      </c>
      <c r="M80" s="1">
        <v>-6379.58</v>
      </c>
      <c r="N80" s="4">
        <v>1.28</v>
      </c>
      <c r="O80" s="4"/>
      <c r="P80" s="15"/>
      <c r="Q80" s="97"/>
      <c r="R80" s="97"/>
    </row>
    <row r="81" spans="1:18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22.259606373008435</v>
      </c>
      <c r="I81" s="21">
        <f>F81*$V$17</f>
        <v>2.0066541705716965</v>
      </c>
      <c r="J81" s="21">
        <f t="shared" si="15"/>
        <v>70332.120084348644</v>
      </c>
      <c r="K81" s="21">
        <f t="shared" si="16"/>
        <v>6340.2847169634497</v>
      </c>
      <c r="L81" s="5" t="s">
        <v>24</v>
      </c>
      <c r="M81" s="1">
        <v>-3159.63</v>
      </c>
      <c r="N81" s="4">
        <v>0.63</v>
      </c>
      <c r="O81" s="4"/>
      <c r="P81" s="15"/>
      <c r="Q81" s="97"/>
      <c r="R81" s="97"/>
    </row>
    <row r="82" spans="1:18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19.149536455400078</v>
      </c>
      <c r="I82" s="21">
        <f>F82*$V$16</f>
        <v>1.7457652818091236</v>
      </c>
      <c r="J82" s="21">
        <f t="shared" si="15"/>
        <v>123874.32992732748</v>
      </c>
      <c r="K82" s="21">
        <f t="shared" si="16"/>
        <v>11292.98899731404</v>
      </c>
      <c r="L82" s="5" t="s">
        <v>24</v>
      </c>
      <c r="M82" s="1">
        <v>-6468.79</v>
      </c>
      <c r="N82" s="4">
        <v>1.29</v>
      </c>
      <c r="O82" s="4"/>
      <c r="P82" s="15"/>
      <c r="Q82" s="97"/>
      <c r="R82" s="97"/>
    </row>
    <row r="83" spans="1:18" x14ac:dyDescent="0.2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11.670530164533821</v>
      </c>
      <c r="I83" s="21">
        <f>F83*$V$31</f>
        <v>1.4509872029250457</v>
      </c>
      <c r="J83" s="21">
        <f>H83*(-$M83)</f>
        <v>74691.393053016451</v>
      </c>
      <c r="K83" s="21">
        <f t="shared" ref="K83:K86" si="20">I83*(-$M83)</f>
        <v>9286.3180987202923</v>
      </c>
      <c r="L83" s="7" t="s">
        <v>10</v>
      </c>
      <c r="M83" s="1">
        <v>-6400</v>
      </c>
      <c r="N83" s="4">
        <v>7.67</v>
      </c>
      <c r="O83" s="4"/>
      <c r="P83" s="15"/>
      <c r="Q83" s="97"/>
      <c r="R83" s="97"/>
    </row>
    <row r="84" spans="1:18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1">H84*(-$M84)</f>
        <v>0</v>
      </c>
      <c r="K84" s="21">
        <f t="shared" si="20"/>
        <v>0</v>
      </c>
      <c r="L84" s="7" t="s">
        <v>10</v>
      </c>
      <c r="M84" s="1">
        <v>-6400</v>
      </c>
      <c r="N84" s="4">
        <v>6.39</v>
      </c>
      <c r="O84" s="4"/>
      <c r="P84" s="15"/>
      <c r="Q84" s="97"/>
      <c r="R84" s="97"/>
    </row>
    <row r="85" spans="1:18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22.641666666666666</v>
      </c>
      <c r="I85" s="21">
        <f>E85*$V$21</f>
        <v>2.8925000000000001</v>
      </c>
      <c r="J85" s="21">
        <f t="shared" si="21"/>
        <v>144906.66666666666</v>
      </c>
      <c r="K85" s="21">
        <f t="shared" si="20"/>
        <v>18512</v>
      </c>
      <c r="L85" s="7" t="s">
        <v>10</v>
      </c>
      <c r="M85" s="4">
        <v>-6400</v>
      </c>
      <c r="N85" s="4">
        <v>7.67</v>
      </c>
      <c r="O85" s="4"/>
      <c r="P85" s="15"/>
      <c r="Q85" s="97"/>
      <c r="R85" s="97"/>
    </row>
    <row r="86" spans="1:18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8.0196718784408727</v>
      </c>
      <c r="I86" s="21">
        <f>F86*$V$34</f>
        <v>1.1164038757982824</v>
      </c>
      <c r="J86" s="21">
        <f t="shared" si="21"/>
        <v>51325.900022021582</v>
      </c>
      <c r="K86" s="21">
        <f t="shared" si="20"/>
        <v>7144.9848051090075</v>
      </c>
      <c r="L86" s="7" t="s">
        <v>10</v>
      </c>
      <c r="M86" s="1">
        <v>-6400</v>
      </c>
      <c r="N86" s="4">
        <v>7.67</v>
      </c>
      <c r="O86" s="4"/>
      <c r="P86" s="15"/>
      <c r="Q86" s="97"/>
      <c r="R86" s="97"/>
    </row>
    <row r="87" spans="1:18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31.431780167264037</v>
      </c>
      <c r="I87" s="21">
        <f>F87*$V$18</f>
        <v>3.7322580645161287</v>
      </c>
      <c r="J87" s="21">
        <f t="shared" ref="J87:J91" si="22">H87*(-$M87)</f>
        <v>201414.84731182794</v>
      </c>
      <c r="K87" s="21">
        <f t="shared" ref="K87:K91" si="23">I87*(-$M87)</f>
        <v>23916.309677419355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18" x14ac:dyDescent="0.2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17.817729497898885</v>
      </c>
      <c r="I88" s="21">
        <f t="shared" ref="I88" si="24">F88*$V$16</f>
        <v>1.6243512541697354</v>
      </c>
      <c r="J88" s="21">
        <f t="shared" si="22"/>
        <v>115492.74083243078</v>
      </c>
      <c r="K88" s="21">
        <f t="shared" si="23"/>
        <v>10528.882394402806</v>
      </c>
      <c r="L88" s="5" t="s">
        <v>24</v>
      </c>
      <c r="M88" s="1">
        <v>-6481.9</v>
      </c>
      <c r="N88" s="4">
        <v>1.3</v>
      </c>
      <c r="O88" s="4"/>
      <c r="P88" s="15"/>
      <c r="Q88" s="97"/>
      <c r="R88" s="97"/>
    </row>
    <row r="89" spans="1:18" x14ac:dyDescent="0.2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25.758393848782568</v>
      </c>
      <c r="I89" s="21">
        <f>F89*$V$20</f>
        <v>3.1750106791969239</v>
      </c>
      <c r="J89" s="21">
        <f t="shared" si="22"/>
        <v>164853.72063220842</v>
      </c>
      <c r="K89" s="21">
        <f t="shared" si="23"/>
        <v>20320.068346860313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</row>
    <row r="90" spans="1:18" x14ac:dyDescent="0.2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17.372204924992925</v>
      </c>
      <c r="I90" s="21">
        <f>F90*$V$22</f>
        <v>1.0597226153410697</v>
      </c>
      <c r="J90" s="21">
        <f t="shared" si="22"/>
        <v>110903.80879705632</v>
      </c>
      <c r="K90" s="21">
        <f t="shared" si="23"/>
        <v>6765.2479818850816</v>
      </c>
      <c r="L90" s="5" t="s">
        <v>24</v>
      </c>
      <c r="M90" s="1">
        <v>-6383.98</v>
      </c>
      <c r="N90" s="4">
        <v>1.28</v>
      </c>
      <c r="O90" s="4"/>
      <c r="P90" s="15"/>
      <c r="Q90" s="15"/>
      <c r="R90" s="15"/>
    </row>
    <row r="91" spans="1:18" x14ac:dyDescent="0.2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17.9507851155183</v>
      </c>
      <c r="I91" s="21">
        <f>F91*$V$24</f>
        <v>1.5405888366387241</v>
      </c>
      <c r="J91" s="21">
        <f t="shared" si="22"/>
        <v>114885.02473931713</v>
      </c>
      <c r="K91" s="21">
        <f t="shared" si="23"/>
        <v>9859.768554487835</v>
      </c>
      <c r="L91" s="7" t="s">
        <v>10</v>
      </c>
      <c r="M91" s="4">
        <v>-6400</v>
      </c>
      <c r="N91" s="4">
        <v>7.67</v>
      </c>
      <c r="P91" s="15"/>
      <c r="Q91" s="15"/>
      <c r="R91" s="15"/>
    </row>
    <row r="92" spans="1:18" x14ac:dyDescent="0.2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25.614677488252884</v>
      </c>
      <c r="I92" s="21">
        <f>F92*$V$20</f>
        <v>3.1572960273387443</v>
      </c>
      <c r="J92" s="21">
        <f t="shared" ref="J92" si="25">H92*(-$M92)</f>
        <v>163933.93592481845</v>
      </c>
      <c r="K92" s="21">
        <f t="shared" ref="K92" si="26">I92*(-$M92)</f>
        <v>20206.694574967962</v>
      </c>
      <c r="L92" s="7" t="s">
        <v>10</v>
      </c>
      <c r="M92" s="4">
        <v>-6400</v>
      </c>
      <c r="N92" s="4">
        <v>7.67</v>
      </c>
      <c r="O92" s="4"/>
      <c r="P92" s="15"/>
      <c r="Q92" s="15"/>
      <c r="R92" s="15"/>
    </row>
    <row r="93" spans="1:18" x14ac:dyDescent="0.2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 x14ac:dyDescent="0.2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 x14ac:dyDescent="0.2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7">H95*(-M95)</f>
        <v>0</v>
      </c>
      <c r="K95" s="21"/>
      <c r="L95" s="5"/>
      <c r="M95" s="1"/>
      <c r="N95" s="4"/>
      <c r="O95" s="4"/>
      <c r="Q95" s="15"/>
      <c r="R95" s="15"/>
    </row>
    <row r="96" spans="1:18" x14ac:dyDescent="0.2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 x14ac:dyDescent="0.2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8">H97*(-M97)</f>
        <v>0</v>
      </c>
      <c r="K97" s="21"/>
      <c r="L97" s="5"/>
      <c r="M97" s="1"/>
      <c r="N97" s="4"/>
      <c r="O97" s="4"/>
      <c r="Q97" s="15"/>
      <c r="R97" s="15"/>
    </row>
    <row r="98" spans="1:18" x14ac:dyDescent="0.2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9">H98*(-M98)</f>
        <v>0</v>
      </c>
      <c r="K98" s="21"/>
      <c r="L98" s="5"/>
      <c r="M98" s="1"/>
      <c r="N98" s="4"/>
      <c r="O98" s="4"/>
      <c r="Q98" s="15"/>
      <c r="R98" s="15"/>
    </row>
    <row r="99" spans="1:18" x14ac:dyDescent="0.2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 x14ac:dyDescent="0.2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9"/>
        <v>0</v>
      </c>
      <c r="K100" s="21"/>
      <c r="L100" s="5"/>
      <c r="M100" s="1"/>
      <c r="N100" s="4"/>
      <c r="O100" s="4"/>
      <c r="Q100" s="15"/>
      <c r="R100" s="15"/>
    </row>
    <row r="101" spans="1:18" x14ac:dyDescent="0.2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9"/>
        <v>0</v>
      </c>
      <c r="K101" s="21"/>
      <c r="L101" s="5"/>
      <c r="M101" s="1"/>
      <c r="N101" s="4"/>
      <c r="Q101" s="15"/>
      <c r="R101" s="15"/>
    </row>
    <row r="102" spans="1:18" x14ac:dyDescent="0.2">
      <c r="A102" s="3">
        <v>43346</v>
      </c>
      <c r="D102" s="3"/>
      <c r="E102" s="3"/>
      <c r="F102" s="3"/>
      <c r="G102" s="3"/>
      <c r="H102" s="3"/>
      <c r="I102" s="3"/>
      <c r="J102" s="21">
        <f t="shared" si="29"/>
        <v>0</v>
      </c>
      <c r="K102" s="21"/>
      <c r="L102" s="8" t="s">
        <v>200</v>
      </c>
      <c r="M102" s="1">
        <f>SUM(S4:S6)</f>
        <v>511742.41000000003</v>
      </c>
      <c r="N102" s="1"/>
      <c r="O102" s="4"/>
      <c r="Q102" s="15"/>
      <c r="R102" s="15"/>
    </row>
    <row r="103" spans="1:18" x14ac:dyDescent="0.2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9"/>
        <v>0</v>
      </c>
      <c r="K103" s="21"/>
      <c r="M103" s="1"/>
      <c r="N103" s="4"/>
      <c r="O103" s="4"/>
      <c r="Q103" s="15"/>
      <c r="R103" s="15"/>
    </row>
    <row r="104" spans="1:18" x14ac:dyDescent="0.2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9"/>
        <v>0</v>
      </c>
      <c r="K104" s="21"/>
      <c r="M104" s="1"/>
      <c r="N104" s="4"/>
      <c r="O104" s="4"/>
      <c r="P104" s="15"/>
      <c r="Q104" s="15"/>
      <c r="R104" s="15"/>
    </row>
    <row r="105" spans="1:18" x14ac:dyDescent="0.2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9"/>
        <v>0</v>
      </c>
      <c r="K105" s="21"/>
      <c r="M105" s="1"/>
      <c r="N105" s="4"/>
      <c r="P105" s="15"/>
      <c r="Q105" s="15"/>
    </row>
    <row r="106" spans="1:18" x14ac:dyDescent="0.2">
      <c r="A106" s="3"/>
      <c r="D106" s="3"/>
      <c r="E106" s="3"/>
      <c r="F106" s="3"/>
      <c r="G106" s="3"/>
      <c r="H106" s="3"/>
      <c r="I106" s="3"/>
      <c r="J106" s="21">
        <f t="shared" si="29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 x14ac:dyDescent="0.2">
      <c r="J107" s="21">
        <f t="shared" si="29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 x14ac:dyDescent="0.2">
      <c r="J108" s="21">
        <f t="shared" si="29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 x14ac:dyDescent="0.2">
      <c r="P109" s="63"/>
      <c r="Q109" s="15"/>
    </row>
    <row r="110" spans="1:18" x14ac:dyDescent="0.2">
      <c r="P110" s="63"/>
    </row>
    <row r="111" spans="1:18" x14ac:dyDescent="0.2">
      <c r="P111" s="63"/>
    </row>
    <row r="112" spans="1:18" x14ac:dyDescent="0.2">
      <c r="P112" s="63"/>
    </row>
    <row r="113" spans="14:16" x14ac:dyDescent="0.2">
      <c r="P113" s="63"/>
    </row>
    <row r="114" spans="14:16" x14ac:dyDescent="0.2">
      <c r="P114" s="63"/>
    </row>
    <row r="115" spans="14:16" x14ac:dyDescent="0.2">
      <c r="P115" s="63"/>
    </row>
    <row r="116" spans="14:16" x14ac:dyDescent="0.2">
      <c r="P116" s="63"/>
    </row>
    <row r="117" spans="14:16" x14ac:dyDescent="0.2">
      <c r="P117" s="63"/>
    </row>
    <row r="118" spans="14:16" x14ac:dyDescent="0.2">
      <c r="P118" s="63"/>
    </row>
    <row r="119" spans="14:16" x14ac:dyDescent="0.2">
      <c r="P119" s="63"/>
    </row>
    <row r="120" spans="14:16" x14ac:dyDescent="0.2">
      <c r="P120" s="63"/>
    </row>
    <row r="121" spans="14:16" x14ac:dyDescent="0.2">
      <c r="P121" s="63"/>
    </row>
    <row r="122" spans="14:16" x14ac:dyDescent="0.2">
      <c r="P122" s="63"/>
    </row>
    <row r="123" spans="14:16" x14ac:dyDescent="0.2">
      <c r="P123" s="63"/>
    </row>
    <row r="124" spans="14:16" x14ac:dyDescent="0.2">
      <c r="P124" s="63"/>
    </row>
    <row r="125" spans="14:16" x14ac:dyDescent="0.2">
      <c r="P125" s="63"/>
    </row>
    <row r="126" spans="14:16" x14ac:dyDescent="0.2">
      <c r="N126">
        <f>SUMIF(C:C,"=医药",J:J)/SUMIF(C:C,"=医药",M:M)*-1</f>
        <v>28.265698152416856</v>
      </c>
      <c r="P126" s="63"/>
    </row>
    <row r="127" spans="14:16" x14ac:dyDescent="0.2">
      <c r="P127" s="63"/>
    </row>
    <row r="128" spans="14:16" x14ac:dyDescent="0.2">
      <c r="P128" s="63"/>
    </row>
    <row r="129" spans="16:16" x14ac:dyDescent="0.2">
      <c r="P129" s="63"/>
    </row>
    <row r="130" spans="16:16" x14ac:dyDescent="0.2">
      <c r="P130" s="63"/>
    </row>
    <row r="131" spans="16:16" x14ac:dyDescent="0.2">
      <c r="P131" s="63"/>
    </row>
    <row r="132" spans="16:16" x14ac:dyDescent="0.2">
      <c r="P132" s="63"/>
    </row>
    <row r="133" spans="16:16" x14ac:dyDescent="0.2">
      <c r="P133" s="63"/>
    </row>
    <row r="134" spans="16:16" x14ac:dyDescent="0.2">
      <c r="P134" s="63"/>
    </row>
    <row r="135" spans="16:16" x14ac:dyDescent="0.2">
      <c r="P135" s="63"/>
    </row>
    <row r="136" spans="16:16" x14ac:dyDescent="0.2">
      <c r="P136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68" sqref="I68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4.0714840714840719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x14ac:dyDescent="0.2">
      <c r="D5" s="31">
        <f>E3*D3</f>
        <v>10.686967106967106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10.583050443690071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x14ac:dyDescent="0.2">
      <c r="D11" s="37">
        <f>已投部分年化收益率!T28</f>
        <v>37.09812108559499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x14ac:dyDescent="0.2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10.471420153211549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23.253075111227428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22.823571110119829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11.322690992018243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8.2066864310148233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36.850348853766192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28.746957140823007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24.845458868283405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 x14ac:dyDescent="0.2">
      <c r="D35" s="31">
        <f>E33*D33</f>
        <v>23.794495958155018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37.640564301778781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25.467605806583521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已投部分年化收益率!T36</f>
        <v>6.6026494708067567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 x14ac:dyDescent="0.2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x14ac:dyDescent="0.2">
      <c r="D45" s="31">
        <f>E43*D43</f>
        <v>6.704330272657181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6.8129189518586228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10.266299357208448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(E48*D48*SUM(G49:AB49)+E51*D51*SUM(F52:AA52))/(SUM(G49:AB49)+SUM(F52:AA52))</f>
        <v>11.226747509665376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33.378500451671187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29.326350496838305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224</v>
      </c>
      <c r="C61" s="46" t="s">
        <v>195</v>
      </c>
      <c r="D61" s="21">
        <f>已投部分年化收益率!V34</f>
        <v>1.2001761726491962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225</v>
      </c>
      <c r="F62">
        <v>1</v>
      </c>
      <c r="G62">
        <v>1</v>
      </c>
      <c r="H62">
        <v>1</v>
      </c>
    </row>
    <row r="63" spans="2:17" x14ac:dyDescent="0.2">
      <c r="D63" s="31">
        <f>E61*D61</f>
        <v>1.096000880863246</v>
      </c>
    </row>
    <row r="66" spans="2:7" x14ac:dyDescent="0.2">
      <c r="D66" s="46"/>
      <c r="E66" s="21"/>
    </row>
    <row r="67" spans="2:7" x14ac:dyDescent="0.2">
      <c r="B67" s="15"/>
      <c r="D67" s="46"/>
      <c r="E67" s="21"/>
    </row>
    <row r="68" spans="2:7" x14ac:dyDescent="0.2">
      <c r="B68" s="15"/>
      <c r="D68" s="46"/>
      <c r="E68" s="21"/>
      <c r="G68" s="15"/>
    </row>
    <row r="69" spans="2:7" x14ac:dyDescent="0.2">
      <c r="B69" s="15"/>
      <c r="D69" s="46"/>
      <c r="E69" s="21"/>
    </row>
    <row r="70" spans="2:7" x14ac:dyDescent="0.2">
      <c r="B70" s="15"/>
      <c r="D70" s="46"/>
      <c r="E70" s="21"/>
      <c r="G70" s="15"/>
    </row>
    <row r="71" spans="2:7" x14ac:dyDescent="0.2">
      <c r="B71" s="15"/>
      <c r="D71" s="46"/>
      <c r="E71" s="21"/>
    </row>
    <row r="72" spans="2:7" x14ac:dyDescent="0.2">
      <c r="B72" s="15"/>
      <c r="D72" s="46"/>
      <c r="E72" s="21"/>
      <c r="G72" s="15"/>
    </row>
    <row r="73" spans="2:7" x14ac:dyDescent="0.2">
      <c r="B73" s="15"/>
      <c r="D73" s="46"/>
      <c r="E73" s="21"/>
    </row>
    <row r="74" spans="2:7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H28" sqref="H28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 x14ac:dyDescent="0.2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 x14ac:dyDescent="0.2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 x14ac:dyDescent="0.2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 x14ac:dyDescent="0.2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 x14ac:dyDescent="0.2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 x14ac:dyDescent="0.2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 x14ac:dyDescent="0.2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 x14ac:dyDescent="0.2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 x14ac:dyDescent="0.2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 x14ac:dyDescent="0.2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 x14ac:dyDescent="0.2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 x14ac:dyDescent="0.2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 x14ac:dyDescent="0.2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 x14ac:dyDescent="0.2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 x14ac:dyDescent="0.2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 x14ac:dyDescent="0.2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 x14ac:dyDescent="0.2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 x14ac:dyDescent="0.2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 x14ac:dyDescent="0.2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 x14ac:dyDescent="0.2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 x14ac:dyDescent="0.2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 x14ac:dyDescent="0.2">
      <c r="F27" t="s">
        <v>102</v>
      </c>
      <c r="H27" t="s">
        <v>101</v>
      </c>
      <c r="I27" t="s">
        <v>103</v>
      </c>
      <c r="J27" t="s">
        <v>211</v>
      </c>
    </row>
    <row r="28" spans="1:28" x14ac:dyDescent="0.2">
      <c r="F28" t="s">
        <v>77</v>
      </c>
      <c r="G28" s="19">
        <f>C3</f>
        <v>5.8900000000000001E-2</v>
      </c>
      <c r="H28" s="1">
        <f>已投部分年化收益率!X13</f>
        <v>10.677273426441509</v>
      </c>
      <c r="I28" s="1">
        <f>ETF计划成本计算!D5</f>
        <v>10.686967106967106</v>
      </c>
      <c r="J28" s="18">
        <f>已投部分年化收益率!S13/H28-1</f>
        <v>-1.8476011483697263E-2</v>
      </c>
    </row>
    <row r="29" spans="1:28" x14ac:dyDescent="0.2">
      <c r="F29" t="s">
        <v>84</v>
      </c>
      <c r="G29" s="19">
        <f>C5</f>
        <v>3.9856999999999997E-2</v>
      </c>
      <c r="H29" s="1">
        <f>已投部分年化收益率!X15</f>
        <v>11.580289867131096</v>
      </c>
      <c r="I29" s="1">
        <f>ETF计划成本计算!D53</f>
        <v>11.226747509665376</v>
      </c>
      <c r="J29" s="18">
        <f>已投部分年化收益率!S15/H29-1</f>
        <v>-3.4566480781043185E-2</v>
      </c>
    </row>
    <row r="30" spans="1:28" x14ac:dyDescent="0.2">
      <c r="F30" t="s">
        <v>78</v>
      </c>
      <c r="G30" s="19">
        <f>C6</f>
        <v>0.21911088749999999</v>
      </c>
      <c r="H30" s="55">
        <f>已投部分年化收益率!X16</f>
        <v>22.280848139707675</v>
      </c>
      <c r="I30" s="4">
        <f>ETF计划成本计算!D20</f>
        <v>22.823571110119829</v>
      </c>
      <c r="J30" s="18">
        <f>已投部分年化收益率!S16/H30-1</f>
        <v>-0.20245405881424661</v>
      </c>
    </row>
    <row r="31" spans="1:28" x14ac:dyDescent="0.2">
      <c r="F31" t="s">
        <v>79</v>
      </c>
      <c r="G31" s="19">
        <f>C7</f>
        <v>4.9623162499999998E-2</v>
      </c>
      <c r="H31" s="1">
        <f>已投部分年化收益率!X17</f>
        <v>27.922947720137909</v>
      </c>
      <c r="I31" s="27" t="s">
        <v>115</v>
      </c>
      <c r="J31" s="18">
        <f>已投部分年化收益率!S17/H31-1</f>
        <v>-0.27299939091460146</v>
      </c>
    </row>
    <row r="32" spans="1:28" x14ac:dyDescent="0.2">
      <c r="F32" t="s">
        <v>226</v>
      </c>
      <c r="G32" s="19">
        <f>C8</f>
        <v>1.6085612499999999E-2</v>
      </c>
      <c r="H32" s="1">
        <f>已投部分年化收益率!X18</f>
        <v>33.003869507192817</v>
      </c>
      <c r="I32" s="27"/>
      <c r="J32" s="18">
        <f>已投部分年化收益率!S18/H32-1</f>
        <v>-0.10434744648479066</v>
      </c>
    </row>
    <row r="33" spans="6:10" x14ac:dyDescent="0.2">
      <c r="F33" t="s">
        <v>80</v>
      </c>
      <c r="G33" s="19">
        <f>C9</f>
        <v>6.1076224999999998E-2</v>
      </c>
      <c r="H33" s="1">
        <f>已投部分年化收益率!X19</f>
        <v>28.265698152416856</v>
      </c>
      <c r="I33" s="1">
        <f>ETF计划成本计算!D30</f>
        <v>28.746957140823007</v>
      </c>
      <c r="J33" s="18">
        <f>已投部分年化收益率!S19/H33-1</f>
        <v>-8.4402590714458214E-2</v>
      </c>
    </row>
    <row r="34" spans="6:10" x14ac:dyDescent="0.2">
      <c r="F34" t="s">
        <v>81</v>
      </c>
      <c r="G34" s="19">
        <f>C12</f>
        <v>5.6750000000000002E-2</v>
      </c>
      <c r="H34" s="1">
        <f>已投部分年化收益率!X21</f>
        <v>24.048996640000336</v>
      </c>
      <c r="I34" s="1">
        <f>ETF计划成本计算!D35</f>
        <v>23.794495958155018</v>
      </c>
      <c r="J34" s="18">
        <f>已投部分年化收益率!S21/H34-1</f>
        <v>-0.13094087404722154</v>
      </c>
    </row>
    <row r="35" spans="6:10" x14ac:dyDescent="0.2">
      <c r="F35" t="s">
        <v>82</v>
      </c>
      <c r="G35" s="19">
        <f>C14</f>
        <v>6.0069037499999992E-2</v>
      </c>
      <c r="H35" s="56">
        <f>已投部分年化收益率!X23</f>
        <v>24.732368316861187</v>
      </c>
      <c r="I35" s="1">
        <f>ETF计划成本计算!D40</f>
        <v>25.467605806583521</v>
      </c>
      <c r="J35" s="18">
        <f>已投部分年化收益率!S24/H35-1</f>
        <v>-0.25563133444648478</v>
      </c>
    </row>
    <row r="36" spans="6:10" x14ac:dyDescent="0.2">
      <c r="F36" t="s">
        <v>83</v>
      </c>
      <c r="G36" s="19">
        <f>C13</f>
        <v>3.70254125E-2</v>
      </c>
      <c r="H36" s="1">
        <f>已投部分年化收益率!X25</f>
        <v>29.314413252421595</v>
      </c>
      <c r="I36" s="1">
        <f>ETF计划成本计算!D58</f>
        <v>29.326350496838305</v>
      </c>
      <c r="J36" s="18">
        <f>已投部分年化收益率!S25/H36-1</f>
        <v>-0.24371674066617754</v>
      </c>
    </row>
    <row r="37" spans="6:10" x14ac:dyDescent="0.2">
      <c r="F37" t="s">
        <v>223</v>
      </c>
      <c r="G37" s="19">
        <f>C11</f>
        <v>2.4E-2</v>
      </c>
      <c r="H37" s="1">
        <f>已投部分年化收益率!Y34</f>
        <v>1.0898399765103135</v>
      </c>
      <c r="I37" s="1">
        <f>ETF计划成本计算!D63</f>
        <v>1.096000880863246</v>
      </c>
      <c r="J37" s="18">
        <f>已投部分年化收益率!U34/H37-1</f>
        <v>1.4683209749644099E-4</v>
      </c>
    </row>
    <row r="38" spans="6:10" x14ac:dyDescent="0.2">
      <c r="F38" t="s">
        <v>238</v>
      </c>
      <c r="G38" s="19">
        <f>C10</f>
        <v>3.1965149999999998E-2</v>
      </c>
      <c r="H38" s="1">
        <f>已投部分年化收益率!Y22</f>
        <v>1.31948809750681</v>
      </c>
      <c r="J38" s="18">
        <f>已投部分年化收益率!U22/资产配置表!H38-1</f>
        <v>-0.11329249410378894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3"/>
  <sheetViews>
    <sheetView topLeftCell="A7" workbookViewId="0">
      <selection activeCell="N27" sqref="N27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" bestFit="1" customWidth="1"/>
    <col min="16" max="16" width="11.1640625" bestFit="1" customWidth="1"/>
  </cols>
  <sheetData>
    <row r="2" spans="1:12" x14ac:dyDescent="0.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 x14ac:dyDescent="0.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x14ac:dyDescent="0.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x14ac:dyDescent="0.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x14ac:dyDescent="0.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x14ac:dyDescent="0.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x14ac:dyDescent="0.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x14ac:dyDescent="0.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x14ac:dyDescent="0.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 x14ac:dyDescent="0.2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 x14ac:dyDescent="0.2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 x14ac:dyDescent="0.2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 x14ac:dyDescent="0.2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 x14ac:dyDescent="0.2">
      <c r="A21" s="14">
        <v>43390</v>
      </c>
      <c r="B21" s="95">
        <v>75</v>
      </c>
      <c r="C21" s="95">
        <v>16.100000000000001</v>
      </c>
      <c r="D21" s="95">
        <v>1.32</v>
      </c>
      <c r="E21" s="95">
        <v>565</v>
      </c>
      <c r="F21" s="95">
        <v>18.350000000000001</v>
      </c>
      <c r="G21" s="95">
        <v>1.73</v>
      </c>
      <c r="H21" s="95">
        <v>961</v>
      </c>
      <c r="I21" s="95">
        <v>21.84</v>
      </c>
      <c r="J21" s="95">
        <v>1.7</v>
      </c>
      <c r="K21" s="95">
        <v>595</v>
      </c>
      <c r="L21" s="95">
        <v>18.420000000000002</v>
      </c>
      <c r="M21" s="95">
        <v>1.57</v>
      </c>
      <c r="N21" s="95">
        <v>222</v>
      </c>
      <c r="O21" s="95">
        <v>25.45</v>
      </c>
      <c r="P21" s="95">
        <v>1.99</v>
      </c>
      <c r="Q21" s="95">
        <v>291</v>
      </c>
      <c r="R21" s="95">
        <v>23.27</v>
      </c>
      <c r="S21" s="95">
        <v>2.2200000000000002</v>
      </c>
      <c r="T21" s="95">
        <v>233</v>
      </c>
      <c r="U21" s="95">
        <v>10.92</v>
      </c>
      <c r="V21" s="95">
        <v>1.1200000000000001</v>
      </c>
      <c r="W21" s="95">
        <v>589</v>
      </c>
      <c r="X21" s="95">
        <v>29.44</v>
      </c>
      <c r="Y21" s="95">
        <v>2.21</v>
      </c>
      <c r="Z21" s="95">
        <v>109</v>
      </c>
      <c r="AA21" s="95">
        <v>20.059999999999999</v>
      </c>
      <c r="AB21" s="95">
        <v>1.22</v>
      </c>
    </row>
    <row r="22" spans="1:28" x14ac:dyDescent="0.2">
      <c r="A22" s="90" t="s">
        <v>7446</v>
      </c>
      <c r="B22" s="90"/>
      <c r="C22" s="60">
        <f>IF(C19/C21-1&gt;0,0,C19/C21-1)</f>
        <v>-0.33913043478260874</v>
      </c>
      <c r="D22" s="60">
        <f>IF(D19/D21-1&gt;0,0,D19/D21-1)</f>
        <v>0</v>
      </c>
      <c r="E22" s="90"/>
      <c r="F22" s="60">
        <f>IF(F19/F21-1&gt;0,0,F19/F21-1)</f>
        <v>-0.4653950953678474</v>
      </c>
      <c r="G22" s="60">
        <f>IF(G19/G21-1&gt;0,0,G19/G21-1)</f>
        <v>-0.22543352601156064</v>
      </c>
      <c r="H22" s="90"/>
      <c r="I22" s="60">
        <f t="shared" ref="I22:J22" si="0">IF(I19/I21-1&gt;0,0,I19/I21-1)</f>
        <v>-0.29670329670329676</v>
      </c>
      <c r="J22" s="60">
        <f t="shared" si="0"/>
        <v>-2.9411764705882359E-2</v>
      </c>
      <c r="K22" s="90"/>
      <c r="L22" s="60">
        <f t="shared" ref="L22:M22" si="1">IF(L19/L21-1&gt;0,0,L19/L21-1)</f>
        <v>-0.30184581976112934</v>
      </c>
      <c r="M22" s="60">
        <f t="shared" si="1"/>
        <v>-1.9108280254777066E-2</v>
      </c>
      <c r="N22" s="90"/>
      <c r="O22" s="60">
        <f t="shared" ref="O22:P22" si="2">IF(O19/O21-1&gt;0,0,O19/O21-1)</f>
        <v>-7.2298624754420393E-2</v>
      </c>
      <c r="P22" s="60">
        <f t="shared" si="2"/>
        <v>-2.010050251256279E-2</v>
      </c>
      <c r="Q22" s="90"/>
      <c r="R22" s="60">
        <f t="shared" ref="R22:S22" si="3">IF(R19/R21-1&gt;0,0,R19/R21-1)</f>
        <v>-0.16673828964331749</v>
      </c>
      <c r="S22" s="60">
        <f t="shared" si="3"/>
        <v>-5.8558558558558738E-2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-0.57608695652173914</v>
      </c>
      <c r="Y22" s="60">
        <f t="shared" si="5"/>
        <v>-0.29411764705882348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 x14ac:dyDescent="0.2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3.6327167630057812E-2</v>
      </c>
      <c r="D26" s="58">
        <f>(1+$J$22)*D3</f>
        <v>0.17596764705882351</v>
      </c>
      <c r="E26" s="58">
        <f>(1+$M$22)*E3</f>
        <v>0.18038598726114652</v>
      </c>
      <c r="F26" s="58">
        <f>(1+$P$22)*F3</f>
        <v>7.6824120603015078E-2</v>
      </c>
      <c r="G26" s="58">
        <f>(1+$S$22)*G3</f>
        <v>4.3306306306306296E-3</v>
      </c>
      <c r="H26" s="58">
        <f>(1+$V$22)*H3</f>
        <v>0.26960000000000001</v>
      </c>
      <c r="I26" s="58">
        <f>(1+$Y$22)*I3</f>
        <v>1.7999999999999999E-2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-2.8664446816326516E-2</v>
      </c>
      <c r="M26" s="61">
        <v>3728.17</v>
      </c>
      <c r="N26" s="61">
        <f>M26*(1+L26)</f>
        <v>3621.3040693127759</v>
      </c>
      <c r="O26" s="89">
        <f>资产配置表!C3</f>
        <v>5.8900000000000001E-2</v>
      </c>
      <c r="P26" s="60">
        <f>O26*(1+L26)</f>
        <v>5.7211664082518369E-2</v>
      </c>
    </row>
    <row r="27" spans="1:28" ht="12.75" customHeight="1" x14ac:dyDescent="0.2">
      <c r="A27" s="94" t="s">
        <v>7454</v>
      </c>
      <c r="B27" s="58">
        <f>(1+$D$22)*B4</f>
        <v>9.9699999999999997E-2</v>
      </c>
      <c r="C27" s="58">
        <f>(1+$G$22)*C4</f>
        <v>6.8704046242774569E-2</v>
      </c>
      <c r="D27" s="58">
        <f>(1+$J$22)*D4</f>
        <v>0.15218823529411765</v>
      </c>
      <c r="E27" s="58">
        <f>(1+$M$22)*E4</f>
        <v>8.8182165605095536E-2</v>
      </c>
      <c r="F27" s="58">
        <f>(1+$P$22)*F4</f>
        <v>7.3100502512562809E-2</v>
      </c>
      <c r="G27" s="58">
        <f>(1+$S$22)*G4</f>
        <v>4.3871171171171168E-2</v>
      </c>
      <c r="H27" s="58">
        <f>(1+$V$22)*H4</f>
        <v>0.33500000000000002</v>
      </c>
      <c r="I27" s="58">
        <f>(1+$Y$22)*I4</f>
        <v>4.1082352941176473E-2</v>
      </c>
      <c r="J27" s="58">
        <f t="shared" si="7"/>
        <v>6.6E-3</v>
      </c>
      <c r="K27" s="58">
        <f>(1+$AB$22)*K4</f>
        <v>4.3900000000000002E-2</v>
      </c>
      <c r="L27" s="60">
        <f>SUM(B27:K27)-1</f>
        <v>-4.767152623310178E-2</v>
      </c>
      <c r="M27" s="61">
        <v>2561.61</v>
      </c>
      <c r="N27" s="61">
        <f>M27*(1+L27)</f>
        <v>2439.4941416860242</v>
      </c>
      <c r="O27" s="96">
        <f>资产配置表!C4</f>
        <v>8.0543625000000004E-3</v>
      </c>
      <c r="P27" s="60">
        <f>O27*(1+L27)</f>
        <v>7.6703987467903389E-3</v>
      </c>
    </row>
    <row r="28" spans="1:28" x14ac:dyDescent="0.2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4.3220809248554919E-2</v>
      </c>
      <c r="D28" s="58">
        <f t="shared" ref="D28:D38" si="10">(1+$J$22)*D5</f>
        <v>8.3082352941176482E-2</v>
      </c>
      <c r="E28" s="58">
        <f t="shared" ref="E28:E38" si="11">(1+$M$22)*E5</f>
        <v>3.6783439490445859E-2</v>
      </c>
      <c r="F28" s="58">
        <f t="shared" ref="F28:F38" si="12">(1+$P$22)*F5</f>
        <v>0.10847487437185931</v>
      </c>
      <c r="G28" s="58">
        <f t="shared" ref="G28:G38" si="13">(1+$S$22)*G5</f>
        <v>2.7960810810810807E-2</v>
      </c>
      <c r="H28" s="58">
        <f t="shared" ref="H28:H38" si="14">(1+$V$22)*H5</f>
        <v>0.622</v>
      </c>
      <c r="I28" s="58">
        <f t="shared" ref="I28:I38" si="15">(1+$Y$22)*I5</f>
        <v>7.6235294117647069E-3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-2.2854183725387944E-2</v>
      </c>
      <c r="M28" s="61">
        <v>2429.21</v>
      </c>
      <c r="N28" s="61">
        <f t="shared" ref="N28:N38" si="18">M28*(1+L28)</f>
        <v>2373.6923883524505</v>
      </c>
      <c r="O28" s="89">
        <f>资产配置表!C4</f>
        <v>8.0543625000000004E-3</v>
      </c>
      <c r="P28" s="60">
        <f t="shared" ref="P28:P38" si="19">O28*(1+L28)</f>
        <v>7.8702866196341259E-3</v>
      </c>
    </row>
    <row r="29" spans="1:28" x14ac:dyDescent="0.2">
      <c r="A29" s="90" t="str">
        <f>组合权益类行业占比!J5</f>
        <v>沪深300</v>
      </c>
      <c r="B29" s="58">
        <f t="shared" si="8"/>
        <v>2.81E-2</v>
      </c>
      <c r="C29" s="58">
        <f t="shared" si="9"/>
        <v>5.7240462427745664E-2</v>
      </c>
      <c r="D29" s="58">
        <f t="shared" si="10"/>
        <v>0.12035294117647059</v>
      </c>
      <c r="E29" s="58">
        <f t="shared" si="11"/>
        <v>0.11035031847133758</v>
      </c>
      <c r="F29" s="58">
        <f t="shared" si="12"/>
        <v>8.8974874371859303E-2</v>
      </c>
      <c r="G29" s="58">
        <f t="shared" si="13"/>
        <v>6.0252252252252239E-2</v>
      </c>
      <c r="H29" s="58">
        <f t="shared" si="14"/>
        <v>0.39069999999999999</v>
      </c>
      <c r="I29" s="58">
        <f t="shared" si="15"/>
        <v>4.8423529411764712E-2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-4.8105621888569927E-2</v>
      </c>
      <c r="M29" s="61">
        <v>3118.25</v>
      </c>
      <c r="N29" s="61">
        <f t="shared" si="18"/>
        <v>2968.2446445459668</v>
      </c>
      <c r="O29" s="89">
        <f>资产配置表!C5</f>
        <v>3.9856999999999997E-2</v>
      </c>
      <c r="P29" s="60">
        <f t="shared" si="19"/>
        <v>3.7939654228387264E-2</v>
      </c>
    </row>
    <row r="30" spans="1:28" x14ac:dyDescent="0.2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0.12462774566473989</v>
      </c>
      <c r="D30" s="58">
        <f t="shared" si="10"/>
        <v>0.21022941176470589</v>
      </c>
      <c r="E30" s="58">
        <f t="shared" si="11"/>
        <v>0.11515668789808918</v>
      </c>
      <c r="F30" s="58">
        <f t="shared" si="12"/>
        <v>6.72211055276382E-2</v>
      </c>
      <c r="G30" s="58">
        <f t="shared" si="13"/>
        <v>0.10930135135135133</v>
      </c>
      <c r="H30" s="58">
        <f t="shared" si="14"/>
        <v>8.2500000000000004E-2</v>
      </c>
      <c r="I30" s="58">
        <f t="shared" si="15"/>
        <v>0.11795294117647059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-0.10211075661700486</v>
      </c>
      <c r="M30" s="61">
        <v>4133.38</v>
      </c>
      <c r="N30" s="61">
        <f t="shared" si="18"/>
        <v>3711.3174408144046</v>
      </c>
      <c r="O30" s="89">
        <f>资产配置表!C6</f>
        <v>0.21911088749999999</v>
      </c>
      <c r="P30" s="60">
        <f t="shared" si="19"/>
        <v>0.19673730899435155</v>
      </c>
    </row>
    <row r="31" spans="1:28" x14ac:dyDescent="0.2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0.13004971098265897</v>
      </c>
      <c r="D31" s="58">
        <f t="shared" si="10"/>
        <v>0.22905882352941179</v>
      </c>
      <c r="E31" s="58">
        <f t="shared" si="11"/>
        <v>0.1253579617834395</v>
      </c>
      <c r="F31" s="58">
        <f t="shared" si="12"/>
        <v>5.1444723618090452E-2</v>
      </c>
      <c r="G31" s="58">
        <f t="shared" si="13"/>
        <v>9.9510360360360345E-2</v>
      </c>
      <c r="H31" s="58">
        <f t="shared" si="14"/>
        <v>4.1700000000000001E-2</v>
      </c>
      <c r="I31" s="58">
        <f t="shared" si="15"/>
        <v>0.12621176470588236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-0.10696665502015656</v>
      </c>
      <c r="M31" s="61">
        <v>4292.2</v>
      </c>
      <c r="N31" s="61">
        <f t="shared" si="18"/>
        <v>3833.077723322484</v>
      </c>
      <c r="O31" s="89">
        <f>资产配置表!C7</f>
        <v>4.9623162499999998E-2</v>
      </c>
      <c r="P31" s="60">
        <f t="shared" si="19"/>
        <v>4.4315138795853332E-2</v>
      </c>
    </row>
    <row r="32" spans="1:28" x14ac:dyDescent="0.2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61">
        <v>4788.3900000000003</v>
      </c>
      <c r="N32" s="61">
        <f t="shared" si="18"/>
        <v>4788.3900000000003</v>
      </c>
      <c r="O32" s="89">
        <f>资产配置表!C11</f>
        <v>2.4E-2</v>
      </c>
      <c r="P32" s="60">
        <f t="shared" si="19"/>
        <v>2.4E-2</v>
      </c>
    </row>
    <row r="33" spans="1:16" x14ac:dyDescent="0.2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61">
        <v>481.27</v>
      </c>
      <c r="N33" s="61">
        <f t="shared" si="18"/>
        <v>481.27</v>
      </c>
      <c r="O33" s="89">
        <f>资产配置表!C10</f>
        <v>3.1965149999999998E-2</v>
      </c>
      <c r="P33" s="60">
        <f t="shared" si="19"/>
        <v>3.1965149999999998E-2</v>
      </c>
    </row>
    <row r="34" spans="1:16" x14ac:dyDescent="0.2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0.51732229299363053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0.33360000000000001</v>
      </c>
      <c r="J34" s="58">
        <f t="shared" si="20"/>
        <v>0</v>
      </c>
      <c r="K34" s="58">
        <f t="shared" si="16"/>
        <v>0</v>
      </c>
      <c r="L34" s="60">
        <f t="shared" si="17"/>
        <v>-0.14907770700636946</v>
      </c>
      <c r="M34" s="61">
        <v>1057.18</v>
      </c>
      <c r="N34" s="61">
        <f t="shared" si="18"/>
        <v>899.57802970700641</v>
      </c>
      <c r="O34" s="89">
        <f>资产配置表!C13</f>
        <v>3.70254125E-2</v>
      </c>
      <c r="P34" s="60">
        <f t="shared" si="19"/>
        <v>3.1505748903535032E-2</v>
      </c>
    </row>
    <row r="35" spans="1:16" x14ac:dyDescent="0.2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0.94144144144144126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-5.8558558558558738E-2</v>
      </c>
      <c r="M35" s="61">
        <v>7863.88</v>
      </c>
      <c r="N35" s="61">
        <f t="shared" si="18"/>
        <v>7403.382522522521</v>
      </c>
      <c r="O35" s="89">
        <f>资产配置表!C9</f>
        <v>6.1076224999999998E-2</v>
      </c>
      <c r="P35" s="60">
        <f t="shared" si="19"/>
        <v>5.7499689301801792E-2</v>
      </c>
    </row>
    <row r="36" spans="1:16" x14ac:dyDescent="0.2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0.33095286624203824</v>
      </c>
      <c r="F36" s="58">
        <f t="shared" si="12"/>
        <v>8.2507537688442212E-2</v>
      </c>
      <c r="G36" s="58">
        <f t="shared" si="13"/>
        <v>0.36574999999999996</v>
      </c>
      <c r="H36" s="58">
        <f t="shared" si="14"/>
        <v>8.7400000000000005E-2</v>
      </c>
      <c r="I36" s="58">
        <f t="shared" si="15"/>
        <v>7.2352941176470592E-2</v>
      </c>
      <c r="J36" s="58">
        <f t="shared" si="20"/>
        <v>0</v>
      </c>
      <c r="K36" s="58">
        <f t="shared" si="16"/>
        <v>0</v>
      </c>
      <c r="L36" s="60">
        <f t="shared" si="17"/>
        <v>-6.1036654893048992E-2</v>
      </c>
      <c r="M36" s="61">
        <v>6057.22</v>
      </c>
      <c r="N36" s="61">
        <f t="shared" si="18"/>
        <v>5687.5075532487263</v>
      </c>
      <c r="O36" s="89">
        <f>资产配置表!C12</f>
        <v>5.6750000000000002E-2</v>
      </c>
      <c r="P36" s="60">
        <f t="shared" si="19"/>
        <v>5.3286169834819472E-2</v>
      </c>
    </row>
    <row r="37" spans="1:16" x14ac:dyDescent="0.2">
      <c r="A37" s="90" t="str">
        <f>组合权益类行业占比!J13</f>
        <v>中证环保</v>
      </c>
      <c r="B37" s="58">
        <f t="shared" si="8"/>
        <v>0</v>
      </c>
      <c r="C37" s="58">
        <f t="shared" si="9"/>
        <v>4.5002312138728323E-2</v>
      </c>
      <c r="D37" s="58">
        <f t="shared" si="10"/>
        <v>0.65708823529411764</v>
      </c>
      <c r="E37" s="58">
        <f t="shared" si="11"/>
        <v>5.2085350318471335E-2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5.7600000000000005E-2</v>
      </c>
      <c r="J37" s="58">
        <f t="shared" si="20"/>
        <v>0</v>
      </c>
      <c r="K37" s="58">
        <f t="shared" si="16"/>
        <v>0.13019999999999998</v>
      </c>
      <c r="L37" s="60">
        <f t="shared" si="17"/>
        <v>-5.8024102248682707E-2</v>
      </c>
      <c r="M37" s="61">
        <v>1011.74</v>
      </c>
      <c r="N37" s="61">
        <f t="shared" si="18"/>
        <v>953.0346947909178</v>
      </c>
      <c r="O37" s="89">
        <f>资产配置表!C14</f>
        <v>6.0069037499999992E-2</v>
      </c>
      <c r="P37" s="60">
        <f t="shared" si="19"/>
        <v>5.6583585526120035E-2</v>
      </c>
    </row>
    <row r="38" spans="1:16" x14ac:dyDescent="0.2">
      <c r="A38" s="90" t="str">
        <f>组合权益类行业占比!J14</f>
        <v>创业板指</v>
      </c>
      <c r="B38" s="58">
        <f t="shared" si="8"/>
        <v>0</v>
      </c>
      <c r="C38" s="58">
        <f t="shared" si="9"/>
        <v>2.7806936416184973E-2</v>
      </c>
      <c r="D38" s="58">
        <f t="shared" si="10"/>
        <v>0.18315000000000001</v>
      </c>
      <c r="E38" s="58">
        <f t="shared" si="11"/>
        <v>5.914777070063694E-2</v>
      </c>
      <c r="F38" s="58">
        <f t="shared" si="12"/>
        <v>9.5932160804020103E-2</v>
      </c>
      <c r="G38" s="58">
        <f t="shared" si="13"/>
        <v>0.17454324324324322</v>
      </c>
      <c r="H38" s="58">
        <f t="shared" si="14"/>
        <v>5.1900000000000002E-2</v>
      </c>
      <c r="I38" s="58">
        <f t="shared" si="15"/>
        <v>0.26816470588235297</v>
      </c>
      <c r="J38" s="58">
        <f t="shared" si="20"/>
        <v>0</v>
      </c>
      <c r="K38" s="58">
        <f t="shared" si="16"/>
        <v>0</v>
      </c>
      <c r="L38" s="60">
        <f t="shared" si="17"/>
        <v>-0.13935518295356164</v>
      </c>
      <c r="M38" s="61">
        <v>1231.8599999999999</v>
      </c>
      <c r="N38" s="61">
        <f t="shared" si="18"/>
        <v>1060.1939243268255</v>
      </c>
      <c r="O38" s="89">
        <f>资产配置表!C8</f>
        <v>1.6085612499999999E-2</v>
      </c>
      <c r="P38" s="60">
        <f t="shared" si="19"/>
        <v>1.38439990271424E-2</v>
      </c>
    </row>
    <row r="39" spans="1:16" x14ac:dyDescent="0.2">
      <c r="O39" s="89">
        <f>1-SUM(O26:O38)</f>
        <v>0.32942878750000004</v>
      </c>
      <c r="P39" s="60">
        <f>O39</f>
        <v>0.32942878750000004</v>
      </c>
    </row>
    <row r="40" spans="1:16" x14ac:dyDescent="0.2">
      <c r="O40" s="89">
        <f>SUM(O26:O39)</f>
        <v>1</v>
      </c>
      <c r="P40" s="89">
        <f>SUM(P26:P39)</f>
        <v>0.94985758156095379</v>
      </c>
    </row>
    <row r="41" spans="1:16" x14ac:dyDescent="0.2">
      <c r="B41" s="90"/>
      <c r="C41" s="90"/>
    </row>
    <row r="42" spans="1:16" x14ac:dyDescent="0.2">
      <c r="B42" s="60"/>
      <c r="C42" s="60"/>
    </row>
    <row r="43" spans="1:16" x14ac:dyDescent="0.2">
      <c r="B43" s="60"/>
      <c r="C43" s="60"/>
    </row>
    <row r="44" spans="1:16" x14ac:dyDescent="0.2">
      <c r="B44" s="60"/>
      <c r="C44" s="60"/>
    </row>
    <row r="45" spans="1:16" x14ac:dyDescent="0.2">
      <c r="B45" s="60"/>
      <c r="C45" s="60"/>
    </row>
    <row r="46" spans="1:16" x14ac:dyDescent="0.2">
      <c r="B46" s="60"/>
      <c r="C46" s="60"/>
    </row>
    <row r="47" spans="1:16" x14ac:dyDescent="0.2">
      <c r="B47" s="60"/>
      <c r="C47" s="60"/>
    </row>
    <row r="48" spans="1:16" x14ac:dyDescent="0.2">
      <c r="B48" s="60"/>
      <c r="C48" s="60"/>
    </row>
    <row r="49" spans="2:3" x14ac:dyDescent="0.2">
      <c r="B49" s="60"/>
      <c r="C49" s="60"/>
    </row>
    <row r="50" spans="2:3" x14ac:dyDescent="0.2">
      <c r="B50" s="60"/>
      <c r="C50" s="60"/>
    </row>
    <row r="51" spans="2:3" x14ac:dyDescent="0.2">
      <c r="B51" s="60"/>
      <c r="C51" s="60"/>
    </row>
    <row r="52" spans="2:3" x14ac:dyDescent="0.2">
      <c r="B52" s="60"/>
      <c r="C52" s="60"/>
    </row>
    <row r="53" spans="2:3" x14ac:dyDescent="0.2">
      <c r="B53" s="60"/>
      <c r="C53" s="60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zoomScalePageLayoutView="85" workbookViewId="0">
      <selection activeCell="G70" sqref="G70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 x14ac:dyDescent="0.2">
      <c r="A2" t="s">
        <v>228</v>
      </c>
      <c r="B2" s="1">
        <f>M2*0.3</f>
        <v>6.5190000000000001</v>
      </c>
      <c r="C2" s="21">
        <f>(($N$2+1)*((1+$K$2*$G$2))^C$1)</f>
        <v>0.8006437833445379</v>
      </c>
      <c r="D2" s="21">
        <f>(($N$2+1)*((1+$K$2*$G$2))^D$1)</f>
        <v>0.95922056697969016</v>
      </c>
      <c r="E2" s="21">
        <f>(($N$2+1)*((1+$K$2*$G$2))^E$1)</f>
        <v>1.149205321089583</v>
      </c>
      <c r="G2" s="88">
        <v>0.8</v>
      </c>
      <c r="I2" t="s">
        <v>215</v>
      </c>
      <c r="J2" s="18">
        <f>资产配置表!G28</f>
        <v>5.8900000000000001E-2</v>
      </c>
      <c r="K2" s="18">
        <f>已投部分年化收益率!W13</f>
        <v>0.1182</v>
      </c>
      <c r="L2" s="1">
        <f>资产配置表!H28</f>
        <v>10.677273426441509</v>
      </c>
      <c r="M2" s="1">
        <v>21.73</v>
      </c>
      <c r="N2" s="18">
        <f t="shared" ref="N2:N12" si="0">$M2*0.3/$L2-1</f>
        <v>-0.38945087012044111</v>
      </c>
      <c r="O2" s="18">
        <f t="shared" ref="O2:O12" si="1">$M2*0.5/$L2-1</f>
        <v>1.7581883132598231E-2</v>
      </c>
      <c r="P2" s="18">
        <f t="shared" ref="P2:P12" si="2">$M2*0.7/$L2-1</f>
        <v>0.42461463638563735</v>
      </c>
      <c r="Q2" s="18">
        <f t="shared" ref="Q2:Q12" si="3">$M2/$L2-1</f>
        <v>1.0351637662651965</v>
      </c>
    </row>
    <row r="3" spans="1:17" x14ac:dyDescent="0.2">
      <c r="A3" s="19">
        <f>J2</f>
        <v>5.8900000000000001E-2</v>
      </c>
      <c r="B3" s="1">
        <f>M2*0.5</f>
        <v>10.865</v>
      </c>
      <c r="C3" s="21">
        <f>(($O$2+1)*((1+$K$2*$G$2))^C$1)</f>
        <v>1.3344063055742299</v>
      </c>
      <c r="D3" s="21">
        <f>(($O$2+1)*((1+$K$2*$G$2))^D$1)</f>
        <v>1.5987009449661505</v>
      </c>
      <c r="E3" s="21">
        <f>(($O$2+1)*((1+$K$2*$G$2))^E$1)</f>
        <v>1.9153422018159718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11.580289867131096</v>
      </c>
      <c r="M3" s="1">
        <v>19</v>
      </c>
      <c r="N3" s="18">
        <f t="shared" si="0"/>
        <v>-0.50778434172199871</v>
      </c>
      <c r="O3" s="18">
        <f t="shared" si="1"/>
        <v>-0.17964056953666463</v>
      </c>
      <c r="P3" s="18">
        <f t="shared" si="2"/>
        <v>0.14850320264866945</v>
      </c>
      <c r="Q3" s="18">
        <f t="shared" si="3"/>
        <v>0.64071886092667074</v>
      </c>
    </row>
    <row r="4" spans="1:17" x14ac:dyDescent="0.2">
      <c r="B4" s="1">
        <f>M2*0.7</f>
        <v>15.210999999999999</v>
      </c>
      <c r="C4" s="21">
        <f>(($P$2+1)*((1+$K$2*$G$2))^C$1)</f>
        <v>1.8681688278039217</v>
      </c>
      <c r="D4" s="21">
        <f>(($P$2+1)*((1+$K$2*$G$2))^D$1)</f>
        <v>2.2381813229526104</v>
      </c>
      <c r="E4" s="21">
        <f>(($P$2+1)*((1+$K$2*$G$2))^E$1)</f>
        <v>2.68147908254236</v>
      </c>
      <c r="I4" t="s">
        <v>217</v>
      </c>
      <c r="J4" s="18">
        <f>资产配置表!G30</f>
        <v>0.21911088749999999</v>
      </c>
      <c r="K4" s="18">
        <f>已投部分年化收益率!W16</f>
        <v>9.1200000000000003E-2</v>
      </c>
      <c r="L4" s="1">
        <f>资产配置表!H30</f>
        <v>22.280848139707675</v>
      </c>
      <c r="M4" s="1">
        <v>83.24</v>
      </c>
      <c r="N4" s="18">
        <f t="shared" si="0"/>
        <v>0.12078318757966411</v>
      </c>
      <c r="O4" s="18">
        <f t="shared" si="1"/>
        <v>0.86797197929944025</v>
      </c>
      <c r="P4" s="18">
        <f t="shared" si="2"/>
        <v>1.6151607710192164</v>
      </c>
      <c r="Q4" s="18">
        <f t="shared" si="3"/>
        <v>2.7359439585988805</v>
      </c>
    </row>
    <row r="5" spans="1:17" x14ac:dyDescent="0.2">
      <c r="B5" s="1"/>
      <c r="I5" t="s">
        <v>218</v>
      </c>
      <c r="J5" s="18">
        <f>资产配置表!G31</f>
        <v>4.9623162499999998E-2</v>
      </c>
      <c r="K5" s="18">
        <f>已投部分年化收益率!W17</f>
        <v>9.0200000000000002E-2</v>
      </c>
      <c r="L5" s="1">
        <f>资产配置表!H31</f>
        <v>27.922947720137909</v>
      </c>
      <c r="M5" s="1">
        <v>144.82</v>
      </c>
      <c r="N5" s="18">
        <f t="shared" si="0"/>
        <v>0.55592455479429659</v>
      </c>
      <c r="O5" s="18">
        <f t="shared" si="1"/>
        <v>1.5932075913238277</v>
      </c>
      <c r="P5" s="18">
        <f t="shared" si="2"/>
        <v>2.6304906278533591</v>
      </c>
      <c r="Q5" s="18">
        <f t="shared" si="3"/>
        <v>4.1864151826476554</v>
      </c>
    </row>
    <row r="6" spans="1:17" x14ac:dyDescent="0.2">
      <c r="A6" t="s">
        <v>84</v>
      </c>
      <c r="B6" s="1">
        <f>M3*0.3</f>
        <v>5.7</v>
      </c>
      <c r="C6" s="21">
        <f>(($N$3+1)*((1+$K$3*$G$2))^C$1)</f>
        <v>0.65428177879201044</v>
      </c>
      <c r="D6" s="21">
        <f>(($N$3+1)*((1+$K$3*$G$2))^D$1)</f>
        <v>0.79099018152645029</v>
      </c>
      <c r="E6" s="21">
        <f>(($N$3+1)*((1+$K$3*$G$2))^E$1)</f>
        <v>0.95626301625945098</v>
      </c>
      <c r="I6" t="s">
        <v>178</v>
      </c>
      <c r="J6" s="18">
        <f>资产配置表!G32</f>
        <v>1.6085612499999999E-2</v>
      </c>
      <c r="K6" s="18">
        <f>已投部分年化收益率!W18</f>
        <v>0.11890000000000001</v>
      </c>
      <c r="L6" s="1">
        <f>资产配置表!H32</f>
        <v>33.003869507192817</v>
      </c>
      <c r="M6" s="1">
        <v>137.86000000000001</v>
      </c>
      <c r="N6" s="18">
        <f t="shared" si="0"/>
        <v>0.25312578850751111</v>
      </c>
      <c r="O6" s="18">
        <f t="shared" si="1"/>
        <v>1.088542980845852</v>
      </c>
      <c r="P6" s="18">
        <f t="shared" si="2"/>
        <v>1.9239601731841929</v>
      </c>
      <c r="Q6" s="18">
        <f t="shared" si="3"/>
        <v>3.177085961691704</v>
      </c>
    </row>
    <row r="7" spans="1:17" x14ac:dyDescent="0.2">
      <c r="A7" s="19">
        <f>J3</f>
        <v>3.9856999999999997E-2</v>
      </c>
      <c r="B7" s="1">
        <f>M3*0.5</f>
        <v>9.5</v>
      </c>
      <c r="C7" s="21">
        <f>(($O$3+1)*((1+$K$3*$G$2))^C$1)</f>
        <v>1.0904696313200173</v>
      </c>
      <c r="D7" s="21">
        <f>(($O$3+1)*((1+$K$2*$G$2))^D$1)</f>
        <v>1.288849004127492</v>
      </c>
      <c r="E7" s="21">
        <f>(($O$3+1)*((1+$K$3*$G$2))^E$1)</f>
        <v>1.5937716937657516</v>
      </c>
      <c r="I7" t="s">
        <v>219</v>
      </c>
      <c r="J7" s="18">
        <f>资产配置表!G33</f>
        <v>6.1076224999999998E-2</v>
      </c>
      <c r="K7" s="18">
        <f>已投部分年化收益率!W19</f>
        <v>0.1232</v>
      </c>
      <c r="L7" s="1">
        <f>资产配置表!H33</f>
        <v>28.265698152416856</v>
      </c>
      <c r="M7" s="1">
        <v>74.42</v>
      </c>
      <c r="N7" s="18">
        <f t="shared" si="0"/>
        <v>-0.21013803092314498</v>
      </c>
      <c r="O7" s="18">
        <f t="shared" si="1"/>
        <v>0.31643661512809174</v>
      </c>
      <c r="P7" s="18">
        <f t="shared" si="2"/>
        <v>0.84301126117932834</v>
      </c>
      <c r="Q7" s="18">
        <f t="shared" si="3"/>
        <v>1.6328732302561835</v>
      </c>
    </row>
    <row r="8" spans="1:17" x14ac:dyDescent="0.2">
      <c r="B8" s="1">
        <f>M3*0.7</f>
        <v>13.299999999999999</v>
      </c>
      <c r="C8" s="21">
        <f>(($P$3+1)*((1+$K$3*$G$2))^C$1)</f>
        <v>1.5266574838480242</v>
      </c>
      <c r="D8" s="21">
        <f>(($P$3+1)*((1+$K$3*$G$2))^D$1)</f>
        <v>1.8456437568950503</v>
      </c>
      <c r="E8" s="21">
        <f>(($P$3+1)*((1+$K$3*$G$2))^E$1)</f>
        <v>2.2312803712720521</v>
      </c>
      <c r="I8" t="s">
        <v>220</v>
      </c>
      <c r="J8" s="18">
        <f>资产配置表!G34</f>
        <v>5.6750000000000002E-2</v>
      </c>
      <c r="K8" s="18">
        <f>已投部分年化收益率!W21</f>
        <v>0.12759999999999999</v>
      </c>
      <c r="L8" s="1">
        <f>资产配置表!H34</f>
        <v>24.048996640000336</v>
      </c>
      <c r="M8" s="1">
        <v>52.47</v>
      </c>
      <c r="N8" s="18">
        <f t="shared" si="0"/>
        <v>-0.34546125829556518</v>
      </c>
      <c r="O8" s="18">
        <f t="shared" si="1"/>
        <v>9.0897902840724631E-2</v>
      </c>
      <c r="P8" s="18">
        <f t="shared" si="2"/>
        <v>0.52725706397701444</v>
      </c>
      <c r="Q8" s="18">
        <f t="shared" si="3"/>
        <v>1.1817958056814493</v>
      </c>
    </row>
    <row r="9" spans="1:17" x14ac:dyDescent="0.2">
      <c r="B9" s="1"/>
      <c r="I9" t="s">
        <v>221</v>
      </c>
      <c r="J9" s="18">
        <f>资产配置表!G35</f>
        <v>6.0069037499999992E-2</v>
      </c>
      <c r="K9" s="18">
        <f>已投部分年化收益率!W23</f>
        <v>8.5900000000000004E-2</v>
      </c>
      <c r="L9" s="1">
        <f>资产配置表!H35</f>
        <v>24.732368316861187</v>
      </c>
      <c r="M9" s="1">
        <v>71.13</v>
      </c>
      <c r="N9" s="18">
        <f t="shared" si="0"/>
        <v>-0.13720353317509726</v>
      </c>
      <c r="O9" s="18">
        <f t="shared" si="1"/>
        <v>0.43799411137483779</v>
      </c>
      <c r="P9" s="18">
        <f t="shared" si="2"/>
        <v>1.013191755924773</v>
      </c>
      <c r="Q9" s="18">
        <f t="shared" si="3"/>
        <v>1.8759882227496756</v>
      </c>
    </row>
    <row r="10" spans="1:17" x14ac:dyDescent="0.2">
      <c r="A10" t="s">
        <v>78</v>
      </c>
      <c r="B10" s="1">
        <f>M4*0.3</f>
        <v>24.971999999999998</v>
      </c>
      <c r="C10" s="21">
        <f>(($N$4+1)*((1+$K$4*$G$2))^C$1)</f>
        <v>1.3844338291427503</v>
      </c>
      <c r="D10" s="21">
        <f>(($N$4+1)*((1+$K$4*$G$2))^D$1)</f>
        <v>1.5938199784882938</v>
      </c>
      <c r="E10" s="21">
        <f>(($N$4+1)*((1+$K$4*$G$2))^E$1)</f>
        <v>1.834874351056107</v>
      </c>
      <c r="I10" t="s">
        <v>222</v>
      </c>
      <c r="J10" s="18">
        <f>资产配置表!G36</f>
        <v>3.70254125E-2</v>
      </c>
      <c r="K10" s="18">
        <f>已投部分年化收益率!W33</f>
        <v>0.1157</v>
      </c>
      <c r="L10" s="1">
        <f>资产配置表!H36</f>
        <v>29.314413252421595</v>
      </c>
      <c r="M10" s="1">
        <v>121.16</v>
      </c>
      <c r="N10" s="18">
        <f t="shared" si="0"/>
        <v>0.2399361258577255</v>
      </c>
      <c r="O10" s="18">
        <f t="shared" si="1"/>
        <v>1.0665602097628759</v>
      </c>
      <c r="P10" s="18">
        <f t="shared" si="2"/>
        <v>1.8931842936680261</v>
      </c>
      <c r="Q10" s="18">
        <f t="shared" si="3"/>
        <v>3.1331204195257518</v>
      </c>
    </row>
    <row r="11" spans="1:17" x14ac:dyDescent="0.2">
      <c r="A11" s="19">
        <f>J4</f>
        <v>0.21911088749999999</v>
      </c>
      <c r="B11" s="1">
        <f>M4*0.5</f>
        <v>41.62</v>
      </c>
      <c r="C11" s="21">
        <f>(($O$4+1)*((1+$K$4*$G$2))^C$1)</f>
        <v>2.307389715237917</v>
      </c>
      <c r="D11" s="21">
        <f>(($O$4+1)*((1+$K$4*$G$2))^D$1)</f>
        <v>2.6563666308138232</v>
      </c>
      <c r="E11" s="21">
        <f>(($O$4+1)*((1+$K$4*$G$2))^E$1)</f>
        <v>3.0581239184268454</v>
      </c>
      <c r="I11" t="s">
        <v>223</v>
      </c>
      <c r="J11" s="18">
        <f>资产配置表!G37</f>
        <v>2.4E-2</v>
      </c>
      <c r="K11" s="18">
        <f>已投部分年化收益率!W14</f>
        <v>0.125</v>
      </c>
      <c r="L11" s="1">
        <f>资产配置表!H37</f>
        <v>1.0898399765103135</v>
      </c>
      <c r="M11" s="1">
        <v>3.5</v>
      </c>
      <c r="N11" s="18">
        <f t="shared" si="0"/>
        <v>-3.6555803942778575E-2</v>
      </c>
      <c r="O11" s="18">
        <f t="shared" si="1"/>
        <v>0.6057403267620356</v>
      </c>
      <c r="P11" s="18">
        <f t="shared" si="2"/>
        <v>1.2480364574668497</v>
      </c>
      <c r="Q11" s="18">
        <f t="shared" si="3"/>
        <v>2.2114806535240712</v>
      </c>
    </row>
    <row r="12" spans="1:17" x14ac:dyDescent="0.2">
      <c r="B12" s="1">
        <f>M4*0.7</f>
        <v>58.267999999999994</v>
      </c>
      <c r="C12" s="21">
        <f>(($P$4+1)*((1+$K$4*$G$2))^C$1)</f>
        <v>3.230345601333084</v>
      </c>
      <c r="D12" s="21">
        <f>(($P$4+1)*((1+$K$4*$G$2))^D$1)</f>
        <v>3.7189132831393525</v>
      </c>
      <c r="E12" s="21">
        <f>(($P$4+1)*((1+$K$4*$G$2))^E$1)</f>
        <v>4.2813734857975838</v>
      </c>
      <c r="I12" t="s">
        <v>239</v>
      </c>
      <c r="J12" s="18">
        <f>资产配置表!G38</f>
        <v>3.1965149999999998E-2</v>
      </c>
      <c r="K12" s="18">
        <f>已投部分年化收益率!W22</f>
        <v>6.0999999999999999E-2</v>
      </c>
      <c r="L12" s="1">
        <f>资产配置表!H38</f>
        <v>1.31948809750681</v>
      </c>
      <c r="M12">
        <v>5.04</v>
      </c>
      <c r="N12" s="18">
        <f t="shared" si="0"/>
        <v>0.14589893069664206</v>
      </c>
      <c r="O12" s="18">
        <f t="shared" si="1"/>
        <v>0.90983155116106995</v>
      </c>
      <c r="P12" s="18">
        <f t="shared" si="2"/>
        <v>1.6737641716254976</v>
      </c>
      <c r="Q12" s="18">
        <f t="shared" si="3"/>
        <v>2.8196631023221399</v>
      </c>
    </row>
    <row r="13" spans="1:17" x14ac:dyDescent="0.2">
      <c r="B13" s="1"/>
      <c r="E13" s="21"/>
      <c r="I13" t="s">
        <v>284</v>
      </c>
      <c r="J13" s="18">
        <f>资产配置表!C20</f>
        <v>1.225E-2</v>
      </c>
      <c r="K13" s="18"/>
      <c r="L13" s="1"/>
    </row>
    <row r="14" spans="1:17" x14ac:dyDescent="0.2">
      <c r="A14" t="s">
        <v>79</v>
      </c>
      <c r="B14" s="1">
        <f>M5*0.3</f>
        <v>43.445999999999998</v>
      </c>
      <c r="C14" s="21">
        <f>(($N$5+1)*((1+$K$5*$G$2))^C$1)</f>
        <v>1.9176411320689895</v>
      </c>
      <c r="D14" s="21">
        <f>(($N$5+1)*((1+$K$5*$G$2))^D$1)</f>
        <v>2.2043803834211277</v>
      </c>
      <c r="E14" s="21">
        <f>(($N$5+1)*((1+$K$5*$G$2))^E$1)</f>
        <v>2.5339949136202922</v>
      </c>
      <c r="I14" t="s">
        <v>282</v>
      </c>
      <c r="J14" s="18">
        <f>资产配置表!C15</f>
        <v>2.4E-2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3.196068553448316</v>
      </c>
      <c r="D15" s="21">
        <f>(($O$5+1)*((1+$K$5*$G$2))^D$1)</f>
        <v>3.67396730570188</v>
      </c>
      <c r="E15" s="21">
        <f>(($O$5+1)*((1+$K$5*$G$2))^E$1)</f>
        <v>4.2233248560338206</v>
      </c>
      <c r="I15" t="s">
        <v>283</v>
      </c>
      <c r="J15" s="18">
        <f>资产配置表!C16</f>
        <v>2.3474862499999999E-2</v>
      </c>
      <c r="K15" s="18"/>
    </row>
    <row r="16" spans="1:17" x14ac:dyDescent="0.2">
      <c r="B16" s="1">
        <f>M5*0.7</f>
        <v>101.374</v>
      </c>
      <c r="C16" s="21">
        <f>(($P$5+1)*((1+$K$5*$G$2))^C$1)</f>
        <v>4.4744959748276427</v>
      </c>
      <c r="D16" s="21">
        <f>(($P$5+1)*((1+$K$5*$G$2))^D$1)</f>
        <v>5.1435542279826318</v>
      </c>
      <c r="E16" s="21">
        <f>(($P$5+1)*((1+$K$5*$G$2))^E$1)</f>
        <v>5.912654798447349</v>
      </c>
      <c r="I16" t="s">
        <v>233</v>
      </c>
      <c r="J16" s="19">
        <f>1-SUM(J2:J15)</f>
        <v>0.28581265</v>
      </c>
      <c r="K16" s="19"/>
    </row>
    <row r="17" spans="1:14" x14ac:dyDescent="0.2">
      <c r="B17" s="1"/>
    </row>
    <row r="18" spans="1:14" x14ac:dyDescent="0.2">
      <c r="A18" t="s">
        <v>232</v>
      </c>
      <c r="B18" s="1">
        <f>M6*0.3</f>
        <v>41.358000000000004</v>
      </c>
      <c r="C18" s="21">
        <f>(($N$6+1)*((1+$K$6*$G$2))^C$1)</f>
        <v>1.6458103874524257</v>
      </c>
      <c r="D18" s="21">
        <f>(($N$6+1)*((1+$K$6*$G$2))^D$1)</f>
        <v>1.9738003424846369</v>
      </c>
      <c r="E18" s="21">
        <f>(($N$6+1)*((1+$K$6*$G$2))^E$1)</f>
        <v>2.3671546988003715</v>
      </c>
    </row>
    <row r="19" spans="1:14" x14ac:dyDescent="0.2">
      <c r="A19" s="19">
        <f>J6</f>
        <v>1.6085612499999999E-2</v>
      </c>
      <c r="B19" s="1">
        <f>M6*0.5</f>
        <v>68.930000000000007</v>
      </c>
      <c r="C19" s="21">
        <f>(($O$6+1)*((1+$K$6*$G$2))^C$1)</f>
        <v>2.7430173124207098</v>
      </c>
      <c r="D19" s="21">
        <f>(($O$6+1)*((1+$K$6*$G$2))^D$1)</f>
        <v>3.2896672374743949</v>
      </c>
      <c r="E19" s="21">
        <f>(($O$6+1)*((1+$K$6*$G$2))^E$1)</f>
        <v>3.945257831333953</v>
      </c>
      <c r="I19" t="s">
        <v>227</v>
      </c>
    </row>
    <row r="20" spans="1:14" x14ac:dyDescent="0.2">
      <c r="B20" s="1">
        <f>M6*0.7</f>
        <v>96.50200000000001</v>
      </c>
      <c r="C20" s="21">
        <f>(($P$6+1)*((1+$K$6*$G$2))^C$1)</f>
        <v>3.8402242373889934</v>
      </c>
      <c r="D20" s="21">
        <f>(($P$6+1)*((1+$K$6*$G$2))^D$1)</f>
        <v>4.605534132464153</v>
      </c>
      <c r="E20" s="21">
        <f>(($P$6+1)*((1+$K$6*$G$2))^E$1)</f>
        <v>5.5233609638675345</v>
      </c>
    </row>
    <row r="21" spans="1:14" x14ac:dyDescent="0.2">
      <c r="B21" s="1"/>
    </row>
    <row r="22" spans="1:14" x14ac:dyDescent="0.2">
      <c r="A22" t="s">
        <v>80</v>
      </c>
      <c r="B22" s="1">
        <f>M7*0.3</f>
        <v>22.326000000000001</v>
      </c>
      <c r="C22" s="21">
        <f>(($N$7+1)*((1+$K$7*$G$2))^C$1)</f>
        <v>1.0471829169286913</v>
      </c>
      <c r="D22" s="21">
        <f>(($N$7+1)*((1+$K$7*$G$2))^D$1)</f>
        <v>1.263776025441383</v>
      </c>
      <c r="E22" s="21">
        <f>(($N$7+1)*((1+$K$7*$G$2))^E$1)</f>
        <v>1.5251679689014417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1.7453048615478188</v>
      </c>
      <c r="D23" s="21">
        <f>(($O$7+1)*((1+$K$7*$G$2))^D$1)</f>
        <v>2.1062933757356386</v>
      </c>
      <c r="E23" s="21">
        <f>(($O$7+1)*((1+$K$7*$G$2))^E$1)</f>
        <v>2.5419466148357364</v>
      </c>
    </row>
    <row r="24" spans="1:14" x14ac:dyDescent="0.2">
      <c r="B24" s="1">
        <f>M7*0.7</f>
        <v>52.094000000000001</v>
      </c>
      <c r="C24" s="21">
        <f>(($P$7+1)*((1+$K$7*$G$2))^C$1)</f>
        <v>2.4434268061669462</v>
      </c>
      <c r="D24" s="21">
        <f>(($P$7+1)*((1+$K$7*$G$2))^D$1)</f>
        <v>2.9488107260298939</v>
      </c>
      <c r="E24" s="21">
        <f>(($P$7+1)*((1+$K$7*$G$2))^E$1)</f>
        <v>3.5587252607700304</v>
      </c>
    </row>
    <row r="25" spans="1:14" x14ac:dyDescent="0.2">
      <c r="B25" s="1"/>
    </row>
    <row r="26" spans="1:14" x14ac:dyDescent="0.2">
      <c r="A26" t="s">
        <v>81</v>
      </c>
      <c r="B26" s="1">
        <f>M8*0.3</f>
        <v>15.741</v>
      </c>
      <c r="C26" s="21">
        <f>(($N$8+1)*((1+$K$8*$G$2))^C$1)</f>
        <v>0.87614244534226426</v>
      </c>
      <c r="D26" s="21">
        <f>(($N$8+1)*((1+$K$8*$G$2))^D$1)</f>
        <v>1.0641453772367016</v>
      </c>
      <c r="E26" s="21">
        <f>(($N$8+1)*((1+$K$8*$G$2))^E$1)</f>
        <v>1.2924900396212038</v>
      </c>
      <c r="L26" t="s">
        <v>7436</v>
      </c>
    </row>
    <row r="27" spans="1:14" x14ac:dyDescent="0.2">
      <c r="A27" s="19">
        <f>J8</f>
        <v>5.6750000000000002E-2</v>
      </c>
      <c r="B27" s="1">
        <f>M8*0.5</f>
        <v>26.234999999999999</v>
      </c>
      <c r="C27" s="21">
        <f>(($O$8+1)*((1+$K$8*$G$2))^C$1)</f>
        <v>1.4602374089037737</v>
      </c>
      <c r="D27" s="21">
        <f>(($O$8+1)*((1+$K$8*$G$2))^D$1)</f>
        <v>1.7735756287278357</v>
      </c>
      <c r="E27" s="21">
        <f>(($O$8+1)*((1+$K$8*$G$2))^E$1)</f>
        <v>2.1541500660353394</v>
      </c>
      <c r="L27" t="s">
        <v>7428</v>
      </c>
      <c r="M27" t="s">
        <v>7429</v>
      </c>
      <c r="N27" t="s">
        <v>7430</v>
      </c>
    </row>
    <row r="28" spans="1:14" x14ac:dyDescent="0.2">
      <c r="B28" s="1">
        <f>M8*0.7</f>
        <v>36.728999999999999</v>
      </c>
      <c r="C28" s="21">
        <f>(($P$8+1)*((1+$K$8*$G$2))^C$1)</f>
        <v>2.0443323724652829</v>
      </c>
      <c r="D28" s="21">
        <f>(($P$8+1)*((1+$K$8*$G$2))^D$1)</f>
        <v>2.4830058802189701</v>
      </c>
      <c r="E28" s="21">
        <f>(($P$8+1)*((1+$K$8*$G$2))^E$1)</f>
        <v>3.0158100924494753</v>
      </c>
      <c r="L28" t="s">
        <v>7431</v>
      </c>
      <c r="M28" t="s">
        <v>7432</v>
      </c>
      <c r="N28" t="s">
        <v>7433</v>
      </c>
    </row>
    <row r="29" spans="1:14" x14ac:dyDescent="0.2">
      <c r="L29" t="s">
        <v>7434</v>
      </c>
      <c r="M29" t="s">
        <v>7438</v>
      </c>
      <c r="N29" t="s">
        <v>7435</v>
      </c>
    </row>
    <row r="30" spans="1:14" x14ac:dyDescent="0.2">
      <c r="A30" t="s">
        <v>221</v>
      </c>
      <c r="B30" s="1">
        <f>M9*0.3</f>
        <v>21.338999999999999</v>
      </c>
      <c r="C30" s="21">
        <f>(($N$9+1)*((1+$K$9*$G$2))^C$1)</f>
        <v>1.0531740957820686</v>
      </c>
      <c r="D30" s="21">
        <f>(($N$9+1)*((1+$K$9*$G$2))^D$1)</f>
        <v>1.2028958932981622</v>
      </c>
      <c r="E30" s="21">
        <f>(($N$9+1)*((1+$K$9*$G$2))^E$1)</f>
        <v>1.3739025066307751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1.7552901596367807</v>
      </c>
      <c r="D31" s="21">
        <f>(($O$9+1)*((1+$K$9*$G$2))^D$1)</f>
        <v>2.00482648883027</v>
      </c>
      <c r="E31" s="21">
        <f>(($O$9+1)*((1+$K$9*$G$2))^E$1)</f>
        <v>2.2898375110512914</v>
      </c>
    </row>
    <row r="32" spans="1:14" x14ac:dyDescent="0.2">
      <c r="B32" s="1">
        <f>M9*0.7</f>
        <v>49.790999999999997</v>
      </c>
      <c r="C32" s="21">
        <f>(($P$9+1)*((1+$K$9*$G$2))^C$1)</f>
        <v>2.4574062234914931</v>
      </c>
      <c r="D32" s="21">
        <f>(($P$9+1)*((1+$K$9*$G$2))^D$1)</f>
        <v>2.8067570843623781</v>
      </c>
      <c r="E32" s="21">
        <f>(($P$9+1)*((1+$K$9*$G$2))^E$1)</f>
        <v>3.205772515471808</v>
      </c>
    </row>
    <row r="34" spans="1:14" x14ac:dyDescent="0.2">
      <c r="A34" t="s">
        <v>222</v>
      </c>
      <c r="B34" s="1">
        <f>M10*0.3</f>
        <v>36.347999999999999</v>
      </c>
      <c r="C34" s="21">
        <f>(($N$10+1)*((1+$K$10*$G$2))^C$1)</f>
        <v>1.6170937651980106</v>
      </c>
      <c r="D34" s="21">
        <f>(($N$10+1)*((1+$K$10*$G$2))^D$1)</f>
        <v>1.9303043771022728</v>
      </c>
      <c r="E34" s="21">
        <f>(($N$10+1)*((1+$K$10*$G$2))^E$1)</f>
        <v>2.3041799235457088</v>
      </c>
      <c r="L34" t="s">
        <v>7439</v>
      </c>
      <c r="M34" t="s">
        <v>7439</v>
      </c>
      <c r="N34" t="s">
        <v>7439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2.6951562753300178</v>
      </c>
      <c r="D35" s="21">
        <f>(($O$10+1)*((1+$K$10*$G$2))^D$1)</f>
        <v>3.2171739618371213</v>
      </c>
      <c r="E35" s="21">
        <f>(($O$10+1)*((1+$K$10*$G$2))^E$1)</f>
        <v>3.8402998725761814</v>
      </c>
      <c r="L35" t="s">
        <v>7440</v>
      </c>
      <c r="M35" t="s">
        <v>7440</v>
      </c>
      <c r="N35" t="s">
        <v>7440</v>
      </c>
    </row>
    <row r="36" spans="1:14" x14ac:dyDescent="0.2">
      <c r="B36" s="1">
        <f>M10*0.7</f>
        <v>84.811999999999998</v>
      </c>
      <c r="C36" s="21">
        <f>(($P$10+1)*((1+$K$10*$G$2))^C$1)</f>
        <v>3.7732187854620247</v>
      </c>
      <c r="D36" s="21">
        <f>(($P$10+1)*((1+$K$10*$G$2))^D$1)</f>
        <v>4.5040435465719701</v>
      </c>
      <c r="E36" s="21">
        <f>(($P$10+1)*((1+$K$10*$G$2))^E$1)</f>
        <v>5.3764198216066532</v>
      </c>
      <c r="L36" t="s">
        <v>7441</v>
      </c>
      <c r="M36" t="s">
        <v>7441</v>
      </c>
      <c r="N36" t="s">
        <v>7441</v>
      </c>
    </row>
    <row r="38" spans="1:14" x14ac:dyDescent="0.2">
      <c r="A38" t="s">
        <v>223</v>
      </c>
      <c r="B38" s="1">
        <f>M11*0.3</f>
        <v>1.05</v>
      </c>
      <c r="C38" s="21">
        <f>(($N$11+1)*((1+$K$11*$G$2))^C$1)</f>
        <v>1.2823442249521622</v>
      </c>
      <c r="D38" s="21">
        <f>(($N$11+1)*((1+$K$11*$G$2))^D$1)</f>
        <v>1.5516365121921163</v>
      </c>
      <c r="E38" s="21">
        <f>(($N$11+1)*((1+$K$11*$G$2))^E$1)</f>
        <v>1.8774801797524612</v>
      </c>
    </row>
    <row r="39" spans="1:14" x14ac:dyDescent="0.2">
      <c r="A39" s="19">
        <f>J11</f>
        <v>2.4E-2</v>
      </c>
      <c r="B39" s="1">
        <f>M11*0.5</f>
        <v>1.75</v>
      </c>
      <c r="C39" s="21">
        <f>(($O$11+1)*((1+$K$11*$G$2))^C$1)</f>
        <v>2.1372403749202702</v>
      </c>
      <c r="D39" s="21">
        <f>(($O$11+1)*((1+$K$11*$G$2))^D$1)</f>
        <v>2.5860608536535268</v>
      </c>
      <c r="E39" s="21">
        <f>(($O$11+1)*((1+$K$11*$G$2))^E$1)</f>
        <v>3.1291336329207682</v>
      </c>
    </row>
    <row r="40" spans="1:14" x14ac:dyDescent="0.2">
      <c r="B40" s="1">
        <f>M11*0.7</f>
        <v>2.4499999999999997</v>
      </c>
      <c r="C40" s="21">
        <f>(($P$11+1)*((1+$K$11*$G$2))^C$1)</f>
        <v>2.992136524888378</v>
      </c>
      <c r="D40" s="21">
        <f>(($P$11+1)*((1+$K$11*$G$2))^D$1)</f>
        <v>3.6204851951149375</v>
      </c>
      <c r="E40" s="21">
        <f>(($P$11+1)*((1+$K$11*$G$2))^E$1)</f>
        <v>4.3807870860890752</v>
      </c>
    </row>
    <row r="42" spans="1:14" x14ac:dyDescent="0.2">
      <c r="A42" t="s">
        <v>7437</v>
      </c>
      <c r="B42" s="1">
        <f>M12*0.3</f>
        <v>1.512</v>
      </c>
      <c r="C42" s="21">
        <f>(($N$12+1)*((1+$K$12*$G$2))^C$1)</f>
        <v>1.3219783726092014</v>
      </c>
      <c r="D42" s="21">
        <f>(($N$12+1)*((1+$K$12*$G$2))^D$1)</f>
        <v>1.4541516739515254</v>
      </c>
      <c r="E42" s="21">
        <f>(($N$12+1)*((1+$K$12*$G$2))^E$1)</f>
        <v>1.5995398522916096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2.2032972876820023</v>
      </c>
      <c r="D43" s="21">
        <f>(($O$12+1)*((1+$K$12*$G$2))^D$1)</f>
        <v>2.4235861232525422</v>
      </c>
      <c r="E43" s="21">
        <f>(($O$12+1)*((1+$K$12*$G$2))^E$1)</f>
        <v>2.6658997538193487</v>
      </c>
    </row>
    <row r="44" spans="1:14" x14ac:dyDescent="0.2">
      <c r="B44" s="1">
        <f>M12*0.7</f>
        <v>3.5279999999999996</v>
      </c>
      <c r="C44" s="21">
        <f>(($P$12+1)*((1+$K$12*$G$2))^C$1)</f>
        <v>3.0846162027548027</v>
      </c>
      <c r="D44" s="21">
        <f>(($P$12+1)*((1+$K$12*$G$2))^D$1)</f>
        <v>3.3930205725535587</v>
      </c>
      <c r="E44" s="21">
        <f>(($P$12+1)*((1+$K$12*$G$2))^E$1)</f>
        <v>3.7322596553470881</v>
      </c>
    </row>
    <row r="45" spans="1:14" x14ac:dyDescent="0.2">
      <c r="B45" s="1"/>
      <c r="C45" s="21"/>
      <c r="D45" s="21"/>
      <c r="E45" s="21"/>
    </row>
    <row r="46" spans="1:14" x14ac:dyDescent="0.2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0.28581265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7" t="s">
        <v>240</v>
      </c>
      <c r="D63" s="77" t="s">
        <v>241</v>
      </c>
      <c r="E63" s="77" t="s">
        <v>242</v>
      </c>
    </row>
    <row r="64" spans="1:5" x14ac:dyDescent="0.2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6.1915523438816011E-2</v>
      </c>
      <c r="D64" s="92">
        <f>(D2*$A$3+D6*$A$7+D10*$A$11+D14*$A$15+D18*$A$19+D22*$A$23+D26*$A$27+D30*$A$31+D34*$A$35+D38*$A$39+D42*$A$43+D46*$A$47+D50*$A$51+D54*$A$55+D58*$A$59)^(1/$D$1)-1</f>
        <v>6.3411461649025558E-2</v>
      </c>
      <c r="E64" s="92">
        <f>(E2*$A$3+E6*$A$7+E10*$A$11+E14*$A$15+E18*$A$19+E22*$A$23+E26*$A$27+E30*$A$31+E34*$A$35+E38*$A$39+E42*$A$43+E46*$A$47+E50*$A$51+E54*$A$55+E58*$A$59)^(1/$E$1)-1</f>
        <v>6.4191750765626221E-2</v>
      </c>
    </row>
    <row r="65" spans="2:5" x14ac:dyDescent="0.2">
      <c r="B65" s="78" t="s">
        <v>236</v>
      </c>
      <c r="C65" s="91">
        <f>(C3*$A$3+C7*$A$7+C11*$A$11+C15*$A$15+C19*$A$19+C23*$A$23+C27*$A$27+C31*$A$31+C35*$A$35+C39*$A$39+C43*$A$43+C47*$A$47+C51*$A$51+C55*$A$55+C59*$A$59)^(1/$C$1)-1</f>
        <v>0.20189353834341639</v>
      </c>
      <c r="D65" s="93">
        <f>(D3*$A$3+D7*$A$7+D11*$A$11+D15*$A$15+D19*$A$19+D23*$A$23+D27*$A$27+D31*$A$31+D35*$A$35+D39*$A$39+D43*$A$43+D47*$A$47+D51*$A$51+D55*$A$55+D59*$A$59)^(1/$D$1)-1</f>
        <v>0.14727799485111448</v>
      </c>
      <c r="E65" s="92">
        <f>(E3*$A$3+E7*$A$7+E11*$A$11+E15*$A$15+E19*$A$19+E23*$A$23+E27*$A$27+E31*$A$31+E35*$A$35+E39*$A$39+E43*$A$43+E47*$A$47+E51*$A$51+E55*$A$55+E59*$A$59)^(1/$E$1)-1</f>
        <v>0.12498944125543887</v>
      </c>
    </row>
    <row r="66" spans="2:5" x14ac:dyDescent="0.2">
      <c r="B66" s="77" t="s">
        <v>237</v>
      </c>
      <c r="C66" s="91">
        <f>(C4*$A$3+C8*$A$7+C12*$A$11+C16*$A$15+C20*$A$19+C24*$A$23+C28*$A$27+C32*$A$31+C36*$A$35+C40*$A$39+C44*$A$43+C48*$A$47+C52*$A$51+C56*$A$55+C60*$A$59)^(1/$C$1)-1</f>
        <v>0.31518707141890867</v>
      </c>
      <c r="D66" s="91">
        <f>(D4*$A$3+D8*$A$7+D12*$A$11+D16*$A$15+D20*$A$19+D24*$A$23+D28*$A$27+D32*$A$31+D36*$A$35+D40*$A$39+D44*$A$43+D48*$A$47+D52*$A$51+D56*$A$55+D60*$A$59)^(1/$D$1)-1</f>
        <v>0.21223457097246157</v>
      </c>
      <c r="E66" s="91">
        <f>(E4*$A$3+E8*$A$7+E12*$A$11+E16*$A$15+E20*$A$19+E24*$A$23+E28*$A$27+E32*$A$31+E36*$A$35+E40*$A$39+E44*$A$43+E48*$A$47+E52*$A$51+E56*$A$55+E60*$A$59)^(1/$E$1)-1</f>
        <v>0.1707838385779048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F1" workbookViewId="0">
      <selection activeCell="N17" sqref="N17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 x14ac:dyDescent="0.2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1.1365241513750001E-2</v>
      </c>
      <c r="G2" s="81">
        <f>$B$16*K$2+$B$17*K$4+$B$18*K$5+$B$19*K$6+$B$20*K$7+$B$21*K$8+$B$22*K$9+$B$23*K$10+$B$24*K$11+$B$25*K$12+$B$26*K$13+$B$27*K$14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5.3811431077499999E-2</v>
      </c>
      <c r="G3" s="81">
        <f>$B$16*L$2+$B$17*L$4+$B$18*L$5+$B$19*L$6+$B$20*L$7+$B$21*L$8+$B$22*L$9+$B$23*L$10+$B$24*L$11+$B$25*L$12+$B$26*L$13+$B$27*L$14</f>
        <v>3.9125990000000006E-2</v>
      </c>
      <c r="H3" s="79">
        <f t="shared" ref="H3:H11" si="0">F3-G3</f>
        <v>1.4685441077499993E-2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 x14ac:dyDescent="0.2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0.11918286947874999</v>
      </c>
      <c r="G4" s="81">
        <f>$B$16*M$2+$B$17*M$4+$B$18*M$5+$B$19*M$6+$B$20*M$7+$B$21*M$8+$B$22*M$9+$B$23*M$10+$B$24*M$11+$B$25*M$12+$B$26*M$13+$B$27*M$14</f>
        <v>0.10271703000000001</v>
      </c>
      <c r="H4" s="79">
        <f t="shared" si="0"/>
        <v>1.646583947874998E-2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 x14ac:dyDescent="0.2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7.6992721956249996E-2</v>
      </c>
      <c r="G5" s="81">
        <f>$B$16*N$2+$B$17*N$4+$B$18*N$5+$B$19*N$6+$B$20*N$7+$B$21*N$8+$B$22*N$9+$B$23*N$10+$B$24*N$11+$B$25*N$12+$B$26*N$13+$B$27*N$14</f>
        <v>6.5978250000000016E-2</v>
      </c>
      <c r="H5" s="79">
        <f t="shared" si="0"/>
        <v>1.101447195624998E-2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 x14ac:dyDescent="0.2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3.1456937638750002E-2</v>
      </c>
      <c r="G6" s="81">
        <f>$B$16*O$2+$B$17*O$4+$B$18*O$5+$B$19*O$6+$B$20*O$7+$B$21*O$8+$B$22*O$9+$B$23*O$10+$B$24*O$11+$B$25*O$12+$B$26*O$13+$B$27*O$14</f>
        <v>3.198848E-2</v>
      </c>
      <c r="H6" s="79">
        <f t="shared" si="0"/>
        <v>-5.315423612499981E-4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 x14ac:dyDescent="0.2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0.107861590195</v>
      </c>
      <c r="G7" s="81">
        <f>$B$16*P$2+$B$17*P$4+$B$18*P$5+$B$19*P$6+$B$20*P$7+$B$21*P$8+$B$22*P$9+$B$23*P$10+$B$24*P$11+$B$25*P$12+$B$26*P$13+$B$27*P$14</f>
        <v>9.9665850000000014E-2</v>
      </c>
      <c r="H7" s="79">
        <f t="shared" si="0"/>
        <v>8.1957401949999814E-3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 x14ac:dyDescent="0.2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0.15371955681125002</v>
      </c>
      <c r="G8" s="81">
        <f>$B$16*Q$2+$B$17*Q$4+$B$18*Q$5+$B$19*Q$6+$B$20*Q$7+$B$21*Q$8+$B$22*Q$9+$B$23*Q$10+$B$24*Q$11+$B$25*Q$12+$B$26*Q$13+$B$27*Q$14</f>
        <v>0.18537292000000002</v>
      </c>
      <c r="H8" s="79">
        <f t="shared" si="0"/>
        <v>-3.1653363188750006E-2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7.5959240501250011E-2</v>
      </c>
      <c r="G9" s="81">
        <f>$B$16*R$2+$B$17*R$4+$B$18*R$5+$B$19*R$6+$B$20*R$7+$B$21*R$8+$B$22*R$9+$B$23*R$10+$B$24*R$11+$B$25*R$12+$B$26*R$13+$B$27*R$14</f>
        <v>5.6698750000000006E-2</v>
      </c>
      <c r="H9" s="79">
        <f t="shared" si="0"/>
        <v>1.9260490501250005E-2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5.841367018749999E-3</v>
      </c>
      <c r="G10" s="81">
        <f>$B$16*S$2+$B$17*S$4+$B$18*S$5+$B$19*S$6+$B$20*S$7+$B$21*S$8+$B$22*S$9+$B$23*S$10+$B$24*S$11+$B$25*S$12+$B$26*S$13+$B$27*S$14</f>
        <v>3.7004100000000003E-3</v>
      </c>
      <c r="H10" s="79">
        <f t="shared" si="0"/>
        <v>2.1409570187499987E-3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 x14ac:dyDescent="0.2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2.6363448349999999E-2</v>
      </c>
      <c r="G11" s="81">
        <f>$B$16*T$2+$B$17*T$4+$B$18*T$5+$B$19*T$6+$B$20*T$7+$B$21*T$8+$B$22*T$9+$B$23*T$10+$B$24*T$11+$B$25*T$12+$B$26*T$13+$B$27*T$14</f>
        <v>2.6684090000000001E-2</v>
      </c>
      <c r="H11" s="79">
        <f t="shared" si="0"/>
        <v>-3.2064165000000172E-4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 x14ac:dyDescent="0.2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 x14ac:dyDescent="0.2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 x14ac:dyDescent="0.2">
      <c r="A15" t="s">
        <v>274</v>
      </c>
      <c r="B15" t="s">
        <v>275</v>
      </c>
      <c r="G15" s="80"/>
      <c r="H15" s="80"/>
    </row>
    <row r="16" spans="1:20" x14ac:dyDescent="0.2">
      <c r="A16" s="25" t="s">
        <v>58</v>
      </c>
      <c r="B16" s="18">
        <f>资产配置表!D3</f>
        <v>8.0399999999999999E-2</v>
      </c>
    </row>
    <row r="17" spans="1:22" x14ac:dyDescent="0.2">
      <c r="A17" s="80" t="s">
        <v>44</v>
      </c>
      <c r="B17" s="18">
        <f>资产配置表!D4</f>
        <v>6.0299999999999999E-2</v>
      </c>
    </row>
    <row r="18" spans="1:22" x14ac:dyDescent="0.2">
      <c r="A18" s="80" t="s">
        <v>40</v>
      </c>
      <c r="B18" s="18">
        <f>资产配置表!D5</f>
        <v>4.02E-2</v>
      </c>
    </row>
    <row r="19" spans="1:22" x14ac:dyDescent="0.2">
      <c r="A19" s="80" t="s">
        <v>18</v>
      </c>
      <c r="B19" s="18">
        <f>资产配置表!D6</f>
        <v>0.15410000000000001</v>
      </c>
    </row>
    <row r="20" spans="1:22" x14ac:dyDescent="0.2">
      <c r="A20" s="80" t="s">
        <v>19</v>
      </c>
      <c r="B20" s="18">
        <f>资产配置表!D7</f>
        <v>0</v>
      </c>
      <c r="U20" s="85"/>
    </row>
    <row r="21" spans="1:22" x14ac:dyDescent="0.2">
      <c r="A21" s="80" t="s">
        <v>68</v>
      </c>
      <c r="B21" s="18">
        <f>资产配置表!D9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 x14ac:dyDescent="0.2">
      <c r="A22" s="25" t="s">
        <v>56</v>
      </c>
      <c r="B22" s="18">
        <f>资产配置表!D10</f>
        <v>2.6800000000000001E-2</v>
      </c>
      <c r="L22" s="18"/>
      <c r="M22" s="18"/>
      <c r="N22" s="18"/>
      <c r="O22" s="18"/>
      <c r="P22" s="18"/>
    </row>
    <row r="23" spans="1:22" x14ac:dyDescent="0.2">
      <c r="A23" s="25" t="s">
        <v>59</v>
      </c>
      <c r="B23" s="18">
        <f>资产配置表!D11</f>
        <v>2.01E-2</v>
      </c>
      <c r="U23" s="18"/>
      <c r="V23" s="18"/>
    </row>
    <row r="24" spans="1:22" x14ac:dyDescent="0.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0" t="s">
        <v>37</v>
      </c>
      <c r="B26" s="18">
        <f>资产配置表!D14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">
      <c r="A27" s="25" t="s">
        <v>3858</v>
      </c>
      <c r="B27" s="19">
        <f>资产配置表!D8</f>
        <v>2.01E-2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 x14ac:dyDescent="0.2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 x14ac:dyDescent="0.2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 x14ac:dyDescent="0.2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 x14ac:dyDescent="0.2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 x14ac:dyDescent="0.2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 x14ac:dyDescent="0.2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 x14ac:dyDescent="0.2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 x14ac:dyDescent="0.2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 x14ac:dyDescent="0.2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 x14ac:dyDescent="0.2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 x14ac:dyDescent="0.2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 x14ac:dyDescent="0.2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 x14ac:dyDescent="0.2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 x14ac:dyDescent="0.2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 x14ac:dyDescent="0.2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 x14ac:dyDescent="0.2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 x14ac:dyDescent="0.2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 x14ac:dyDescent="0.2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 x14ac:dyDescent="0.2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 x14ac:dyDescent="0.2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 x14ac:dyDescent="0.2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 x14ac:dyDescent="0.2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 x14ac:dyDescent="0.2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 x14ac:dyDescent="0.2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 x14ac:dyDescent="0.2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 x14ac:dyDescent="0.2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 x14ac:dyDescent="0.2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 x14ac:dyDescent="0.2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 x14ac:dyDescent="0.2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 x14ac:dyDescent="0.2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 x14ac:dyDescent="0.2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 x14ac:dyDescent="0.2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 x14ac:dyDescent="0.2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 x14ac:dyDescent="0.2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 x14ac:dyDescent="0.2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 x14ac:dyDescent="0.2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 x14ac:dyDescent="0.2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 x14ac:dyDescent="0.2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 x14ac:dyDescent="0.2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 x14ac:dyDescent="0.2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 x14ac:dyDescent="0.2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 x14ac:dyDescent="0.2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 x14ac:dyDescent="0.2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 x14ac:dyDescent="0.2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 x14ac:dyDescent="0.2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 x14ac:dyDescent="0.2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 x14ac:dyDescent="0.2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 x14ac:dyDescent="0.2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 x14ac:dyDescent="0.2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 x14ac:dyDescent="0.2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 x14ac:dyDescent="0.2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 x14ac:dyDescent="0.2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 x14ac:dyDescent="0.2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 x14ac:dyDescent="0.2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 x14ac:dyDescent="0.2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 x14ac:dyDescent="0.2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 x14ac:dyDescent="0.2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 x14ac:dyDescent="0.2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 x14ac:dyDescent="0.2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 x14ac:dyDescent="0.2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 x14ac:dyDescent="0.2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 x14ac:dyDescent="0.2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 x14ac:dyDescent="0.2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 x14ac:dyDescent="0.2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 x14ac:dyDescent="0.2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 x14ac:dyDescent="0.2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 x14ac:dyDescent="0.2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 x14ac:dyDescent="0.2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 x14ac:dyDescent="0.2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 x14ac:dyDescent="0.2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 x14ac:dyDescent="0.2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 x14ac:dyDescent="0.2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 x14ac:dyDescent="0.2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 x14ac:dyDescent="0.2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 x14ac:dyDescent="0.2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 x14ac:dyDescent="0.2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 x14ac:dyDescent="0.2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 x14ac:dyDescent="0.2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 x14ac:dyDescent="0.2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 x14ac:dyDescent="0.2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 x14ac:dyDescent="0.2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 x14ac:dyDescent="0.2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 x14ac:dyDescent="0.2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 x14ac:dyDescent="0.2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 x14ac:dyDescent="0.2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 x14ac:dyDescent="0.2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 x14ac:dyDescent="0.2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 x14ac:dyDescent="0.2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 x14ac:dyDescent="0.2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 x14ac:dyDescent="0.2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 x14ac:dyDescent="0.2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 x14ac:dyDescent="0.2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 x14ac:dyDescent="0.2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 x14ac:dyDescent="0.2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 x14ac:dyDescent="0.2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 x14ac:dyDescent="0.2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 x14ac:dyDescent="0.2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 x14ac:dyDescent="0.2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 x14ac:dyDescent="0.2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 x14ac:dyDescent="0.2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 x14ac:dyDescent="0.2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 x14ac:dyDescent="0.2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 x14ac:dyDescent="0.2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 x14ac:dyDescent="0.2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 x14ac:dyDescent="0.2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 x14ac:dyDescent="0.2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 x14ac:dyDescent="0.2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 x14ac:dyDescent="0.2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 x14ac:dyDescent="0.2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 x14ac:dyDescent="0.2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 x14ac:dyDescent="0.2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 x14ac:dyDescent="0.2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 x14ac:dyDescent="0.2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 x14ac:dyDescent="0.2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 x14ac:dyDescent="0.2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 x14ac:dyDescent="0.2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 x14ac:dyDescent="0.2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 x14ac:dyDescent="0.2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 x14ac:dyDescent="0.2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 x14ac:dyDescent="0.2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 x14ac:dyDescent="0.2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 x14ac:dyDescent="0.2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 x14ac:dyDescent="0.2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 x14ac:dyDescent="0.2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 x14ac:dyDescent="0.2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 x14ac:dyDescent="0.2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 x14ac:dyDescent="0.2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 x14ac:dyDescent="0.2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 x14ac:dyDescent="0.2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 x14ac:dyDescent="0.2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 x14ac:dyDescent="0.2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 x14ac:dyDescent="0.2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 x14ac:dyDescent="0.2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 x14ac:dyDescent="0.2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 x14ac:dyDescent="0.2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 x14ac:dyDescent="0.2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 x14ac:dyDescent="0.2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 x14ac:dyDescent="0.2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 x14ac:dyDescent="0.2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 x14ac:dyDescent="0.2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 x14ac:dyDescent="0.2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 x14ac:dyDescent="0.2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 x14ac:dyDescent="0.2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 x14ac:dyDescent="0.2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 x14ac:dyDescent="0.2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 x14ac:dyDescent="0.2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 x14ac:dyDescent="0.2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 x14ac:dyDescent="0.2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 x14ac:dyDescent="0.2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 x14ac:dyDescent="0.2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 x14ac:dyDescent="0.2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 x14ac:dyDescent="0.2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 x14ac:dyDescent="0.2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 x14ac:dyDescent="0.2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 x14ac:dyDescent="0.2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 x14ac:dyDescent="0.2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 x14ac:dyDescent="0.2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 x14ac:dyDescent="0.2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 x14ac:dyDescent="0.2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 x14ac:dyDescent="0.2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 x14ac:dyDescent="0.2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 x14ac:dyDescent="0.2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 x14ac:dyDescent="0.2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 x14ac:dyDescent="0.2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 x14ac:dyDescent="0.2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 x14ac:dyDescent="0.2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 x14ac:dyDescent="0.2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 x14ac:dyDescent="0.2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 x14ac:dyDescent="0.2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 x14ac:dyDescent="0.2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 x14ac:dyDescent="0.2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 x14ac:dyDescent="0.2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 x14ac:dyDescent="0.2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 x14ac:dyDescent="0.2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 x14ac:dyDescent="0.2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 x14ac:dyDescent="0.2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 x14ac:dyDescent="0.2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 x14ac:dyDescent="0.2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 x14ac:dyDescent="0.2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 x14ac:dyDescent="0.2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 x14ac:dyDescent="0.2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 x14ac:dyDescent="0.2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 x14ac:dyDescent="0.2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 x14ac:dyDescent="0.2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 x14ac:dyDescent="0.2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 x14ac:dyDescent="0.2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 x14ac:dyDescent="0.2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 x14ac:dyDescent="0.2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 x14ac:dyDescent="0.2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 x14ac:dyDescent="0.2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 x14ac:dyDescent="0.2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 x14ac:dyDescent="0.2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 x14ac:dyDescent="0.2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 x14ac:dyDescent="0.2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 x14ac:dyDescent="0.2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 x14ac:dyDescent="0.2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 x14ac:dyDescent="0.2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 x14ac:dyDescent="0.2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 x14ac:dyDescent="0.2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 x14ac:dyDescent="0.2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 x14ac:dyDescent="0.2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 x14ac:dyDescent="0.2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 x14ac:dyDescent="0.2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 x14ac:dyDescent="0.2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 x14ac:dyDescent="0.2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 x14ac:dyDescent="0.2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 x14ac:dyDescent="0.2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 x14ac:dyDescent="0.2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 x14ac:dyDescent="0.2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 x14ac:dyDescent="0.2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 x14ac:dyDescent="0.2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 x14ac:dyDescent="0.2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 x14ac:dyDescent="0.2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 x14ac:dyDescent="0.2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 x14ac:dyDescent="0.2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 x14ac:dyDescent="0.2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 x14ac:dyDescent="0.2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 x14ac:dyDescent="0.2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 x14ac:dyDescent="0.2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 x14ac:dyDescent="0.2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 x14ac:dyDescent="0.2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 x14ac:dyDescent="0.2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 x14ac:dyDescent="0.2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 x14ac:dyDescent="0.2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 x14ac:dyDescent="0.2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 x14ac:dyDescent="0.2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 x14ac:dyDescent="0.2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 x14ac:dyDescent="0.2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 x14ac:dyDescent="0.2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 x14ac:dyDescent="0.2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 x14ac:dyDescent="0.2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 x14ac:dyDescent="0.2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 x14ac:dyDescent="0.2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 x14ac:dyDescent="0.2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 x14ac:dyDescent="0.2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 x14ac:dyDescent="0.2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 x14ac:dyDescent="0.2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 x14ac:dyDescent="0.2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 x14ac:dyDescent="0.2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 x14ac:dyDescent="0.2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 x14ac:dyDescent="0.2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 x14ac:dyDescent="0.2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 x14ac:dyDescent="0.2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 x14ac:dyDescent="0.2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 x14ac:dyDescent="0.2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 x14ac:dyDescent="0.2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 x14ac:dyDescent="0.2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 x14ac:dyDescent="0.2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 x14ac:dyDescent="0.2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 x14ac:dyDescent="0.2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 x14ac:dyDescent="0.2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 x14ac:dyDescent="0.2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 x14ac:dyDescent="0.2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 x14ac:dyDescent="0.2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 x14ac:dyDescent="0.2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 x14ac:dyDescent="0.2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 x14ac:dyDescent="0.2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 x14ac:dyDescent="0.2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 x14ac:dyDescent="0.2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 x14ac:dyDescent="0.2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 x14ac:dyDescent="0.2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 x14ac:dyDescent="0.2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 x14ac:dyDescent="0.2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 x14ac:dyDescent="0.2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 x14ac:dyDescent="0.2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 x14ac:dyDescent="0.2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 x14ac:dyDescent="0.2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 x14ac:dyDescent="0.2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 x14ac:dyDescent="0.2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 x14ac:dyDescent="0.2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 x14ac:dyDescent="0.2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 x14ac:dyDescent="0.2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 x14ac:dyDescent="0.2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 x14ac:dyDescent="0.2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 x14ac:dyDescent="0.2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 x14ac:dyDescent="0.2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 x14ac:dyDescent="0.2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 x14ac:dyDescent="0.2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 x14ac:dyDescent="0.2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 x14ac:dyDescent="0.2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 x14ac:dyDescent="0.2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 x14ac:dyDescent="0.2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 x14ac:dyDescent="0.2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 x14ac:dyDescent="0.2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 x14ac:dyDescent="0.2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 x14ac:dyDescent="0.2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 x14ac:dyDescent="0.2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 x14ac:dyDescent="0.2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 x14ac:dyDescent="0.2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 x14ac:dyDescent="0.2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 x14ac:dyDescent="0.2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 x14ac:dyDescent="0.2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 x14ac:dyDescent="0.2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 x14ac:dyDescent="0.2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 x14ac:dyDescent="0.2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 x14ac:dyDescent="0.2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 x14ac:dyDescent="0.2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 x14ac:dyDescent="0.2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 x14ac:dyDescent="0.2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 x14ac:dyDescent="0.2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 x14ac:dyDescent="0.2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 x14ac:dyDescent="0.2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 x14ac:dyDescent="0.2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 x14ac:dyDescent="0.2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 x14ac:dyDescent="0.2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 x14ac:dyDescent="0.2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 x14ac:dyDescent="0.2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 x14ac:dyDescent="0.2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 x14ac:dyDescent="0.2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 x14ac:dyDescent="0.2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 x14ac:dyDescent="0.2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 x14ac:dyDescent="0.2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 x14ac:dyDescent="0.2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 x14ac:dyDescent="0.2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 x14ac:dyDescent="0.2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 x14ac:dyDescent="0.2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 x14ac:dyDescent="0.2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 x14ac:dyDescent="0.2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 x14ac:dyDescent="0.2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 x14ac:dyDescent="0.2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 x14ac:dyDescent="0.2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 x14ac:dyDescent="0.2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 x14ac:dyDescent="0.2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 x14ac:dyDescent="0.2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 x14ac:dyDescent="0.2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 x14ac:dyDescent="0.2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 x14ac:dyDescent="0.2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 x14ac:dyDescent="0.2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 x14ac:dyDescent="0.2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 x14ac:dyDescent="0.2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 x14ac:dyDescent="0.2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 x14ac:dyDescent="0.2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 x14ac:dyDescent="0.2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 x14ac:dyDescent="0.2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 x14ac:dyDescent="0.2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 x14ac:dyDescent="0.2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 x14ac:dyDescent="0.2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 x14ac:dyDescent="0.2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 x14ac:dyDescent="0.2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 x14ac:dyDescent="0.2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 x14ac:dyDescent="0.2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 x14ac:dyDescent="0.2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 x14ac:dyDescent="0.2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 x14ac:dyDescent="0.2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 x14ac:dyDescent="0.2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 x14ac:dyDescent="0.2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 x14ac:dyDescent="0.2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 x14ac:dyDescent="0.2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 x14ac:dyDescent="0.2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 x14ac:dyDescent="0.2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 x14ac:dyDescent="0.2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 x14ac:dyDescent="0.2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 x14ac:dyDescent="0.2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 x14ac:dyDescent="0.2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 x14ac:dyDescent="0.2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 x14ac:dyDescent="0.2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 x14ac:dyDescent="0.2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 x14ac:dyDescent="0.2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 x14ac:dyDescent="0.2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 x14ac:dyDescent="0.2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 x14ac:dyDescent="0.2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 x14ac:dyDescent="0.2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 x14ac:dyDescent="0.2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 x14ac:dyDescent="0.2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 x14ac:dyDescent="0.2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 x14ac:dyDescent="0.2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 x14ac:dyDescent="0.2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 x14ac:dyDescent="0.2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 x14ac:dyDescent="0.2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 x14ac:dyDescent="0.2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 x14ac:dyDescent="0.2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 x14ac:dyDescent="0.2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 x14ac:dyDescent="0.2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 x14ac:dyDescent="0.2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 x14ac:dyDescent="0.2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 x14ac:dyDescent="0.2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 x14ac:dyDescent="0.2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 x14ac:dyDescent="0.2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 x14ac:dyDescent="0.2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 x14ac:dyDescent="0.2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 x14ac:dyDescent="0.2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 x14ac:dyDescent="0.2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 x14ac:dyDescent="0.2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 x14ac:dyDescent="0.2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 x14ac:dyDescent="0.2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 x14ac:dyDescent="0.2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 x14ac:dyDescent="0.2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 x14ac:dyDescent="0.2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 x14ac:dyDescent="0.2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 x14ac:dyDescent="0.2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 x14ac:dyDescent="0.2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 x14ac:dyDescent="0.2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 x14ac:dyDescent="0.2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 x14ac:dyDescent="0.2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 x14ac:dyDescent="0.2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 x14ac:dyDescent="0.2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 x14ac:dyDescent="0.2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 x14ac:dyDescent="0.2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 x14ac:dyDescent="0.2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 x14ac:dyDescent="0.2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 x14ac:dyDescent="0.2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 x14ac:dyDescent="0.2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 x14ac:dyDescent="0.2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 x14ac:dyDescent="0.2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 x14ac:dyDescent="0.2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 x14ac:dyDescent="0.2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 x14ac:dyDescent="0.2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 x14ac:dyDescent="0.2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 x14ac:dyDescent="0.2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 x14ac:dyDescent="0.2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 x14ac:dyDescent="0.2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 x14ac:dyDescent="0.2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 x14ac:dyDescent="0.2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 x14ac:dyDescent="0.2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 x14ac:dyDescent="0.2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 x14ac:dyDescent="0.2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 x14ac:dyDescent="0.2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 x14ac:dyDescent="0.2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 x14ac:dyDescent="0.2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 x14ac:dyDescent="0.2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 x14ac:dyDescent="0.2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 x14ac:dyDescent="0.2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 x14ac:dyDescent="0.2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 x14ac:dyDescent="0.2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 x14ac:dyDescent="0.2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 x14ac:dyDescent="0.2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 x14ac:dyDescent="0.2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 x14ac:dyDescent="0.2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 x14ac:dyDescent="0.2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 x14ac:dyDescent="0.2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 x14ac:dyDescent="0.2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 x14ac:dyDescent="0.2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 x14ac:dyDescent="0.2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 x14ac:dyDescent="0.2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 x14ac:dyDescent="0.2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 x14ac:dyDescent="0.2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 x14ac:dyDescent="0.2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 x14ac:dyDescent="0.2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 x14ac:dyDescent="0.2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 x14ac:dyDescent="0.2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 x14ac:dyDescent="0.2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 x14ac:dyDescent="0.2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 x14ac:dyDescent="0.2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 x14ac:dyDescent="0.2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 x14ac:dyDescent="0.2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 x14ac:dyDescent="0.2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 x14ac:dyDescent="0.2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 x14ac:dyDescent="0.2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 x14ac:dyDescent="0.2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 x14ac:dyDescent="0.2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 x14ac:dyDescent="0.2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 x14ac:dyDescent="0.2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 x14ac:dyDescent="0.2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 x14ac:dyDescent="0.2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 x14ac:dyDescent="0.2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 x14ac:dyDescent="0.2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 x14ac:dyDescent="0.2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 x14ac:dyDescent="0.2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 x14ac:dyDescent="0.2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 x14ac:dyDescent="0.2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 x14ac:dyDescent="0.2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 x14ac:dyDescent="0.2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 x14ac:dyDescent="0.2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 x14ac:dyDescent="0.2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 x14ac:dyDescent="0.2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 x14ac:dyDescent="0.2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 x14ac:dyDescent="0.2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 x14ac:dyDescent="0.2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 x14ac:dyDescent="0.2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 x14ac:dyDescent="0.2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 x14ac:dyDescent="0.2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 x14ac:dyDescent="0.2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 x14ac:dyDescent="0.2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 x14ac:dyDescent="0.2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 x14ac:dyDescent="0.2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 x14ac:dyDescent="0.2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 x14ac:dyDescent="0.2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 x14ac:dyDescent="0.2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 x14ac:dyDescent="0.2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 x14ac:dyDescent="0.2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 x14ac:dyDescent="0.2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 x14ac:dyDescent="0.2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 x14ac:dyDescent="0.2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 x14ac:dyDescent="0.2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 x14ac:dyDescent="0.2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 x14ac:dyDescent="0.2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 x14ac:dyDescent="0.2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 x14ac:dyDescent="0.2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 x14ac:dyDescent="0.2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 x14ac:dyDescent="0.2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 x14ac:dyDescent="0.2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 x14ac:dyDescent="0.2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 x14ac:dyDescent="0.2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 x14ac:dyDescent="0.2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 x14ac:dyDescent="0.2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 x14ac:dyDescent="0.2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 x14ac:dyDescent="0.2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 x14ac:dyDescent="0.2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 x14ac:dyDescent="0.2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 x14ac:dyDescent="0.2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 x14ac:dyDescent="0.2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 x14ac:dyDescent="0.2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 x14ac:dyDescent="0.2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 x14ac:dyDescent="0.2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 x14ac:dyDescent="0.2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 x14ac:dyDescent="0.2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 x14ac:dyDescent="0.2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 x14ac:dyDescent="0.2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 x14ac:dyDescent="0.2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 x14ac:dyDescent="0.2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 x14ac:dyDescent="0.2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 x14ac:dyDescent="0.2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 x14ac:dyDescent="0.2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 x14ac:dyDescent="0.2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 x14ac:dyDescent="0.2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 x14ac:dyDescent="0.2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 x14ac:dyDescent="0.2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 x14ac:dyDescent="0.2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 x14ac:dyDescent="0.2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 x14ac:dyDescent="0.2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 x14ac:dyDescent="0.2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 x14ac:dyDescent="0.2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 x14ac:dyDescent="0.2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 x14ac:dyDescent="0.2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 x14ac:dyDescent="0.2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 x14ac:dyDescent="0.2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 x14ac:dyDescent="0.2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 x14ac:dyDescent="0.2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 x14ac:dyDescent="0.2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 x14ac:dyDescent="0.2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 x14ac:dyDescent="0.2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 x14ac:dyDescent="0.2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 x14ac:dyDescent="0.2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 x14ac:dyDescent="0.2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 x14ac:dyDescent="0.2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 x14ac:dyDescent="0.2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 x14ac:dyDescent="0.2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 x14ac:dyDescent="0.2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 x14ac:dyDescent="0.2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 x14ac:dyDescent="0.2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 x14ac:dyDescent="0.2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 x14ac:dyDescent="0.2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 x14ac:dyDescent="0.2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 x14ac:dyDescent="0.2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 x14ac:dyDescent="0.2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 x14ac:dyDescent="0.2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 x14ac:dyDescent="0.2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 x14ac:dyDescent="0.2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 x14ac:dyDescent="0.2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 x14ac:dyDescent="0.2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 x14ac:dyDescent="0.2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 x14ac:dyDescent="0.2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 x14ac:dyDescent="0.2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 x14ac:dyDescent="0.2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 x14ac:dyDescent="0.2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 x14ac:dyDescent="0.2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 x14ac:dyDescent="0.2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 x14ac:dyDescent="0.2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 x14ac:dyDescent="0.2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 x14ac:dyDescent="0.2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 x14ac:dyDescent="0.2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 x14ac:dyDescent="0.2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 x14ac:dyDescent="0.2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 x14ac:dyDescent="0.2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 x14ac:dyDescent="0.2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 x14ac:dyDescent="0.2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 x14ac:dyDescent="0.2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 x14ac:dyDescent="0.2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 x14ac:dyDescent="0.2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 x14ac:dyDescent="0.2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 x14ac:dyDescent="0.2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 x14ac:dyDescent="0.2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 x14ac:dyDescent="0.2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 x14ac:dyDescent="0.2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 x14ac:dyDescent="0.2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 x14ac:dyDescent="0.2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 x14ac:dyDescent="0.2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 x14ac:dyDescent="0.2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 x14ac:dyDescent="0.2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 x14ac:dyDescent="0.2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 x14ac:dyDescent="0.2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 x14ac:dyDescent="0.2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 x14ac:dyDescent="0.2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 x14ac:dyDescent="0.2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 x14ac:dyDescent="0.2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 x14ac:dyDescent="0.2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 x14ac:dyDescent="0.2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 x14ac:dyDescent="0.2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 x14ac:dyDescent="0.2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 x14ac:dyDescent="0.2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 x14ac:dyDescent="0.2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 x14ac:dyDescent="0.2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 x14ac:dyDescent="0.2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 x14ac:dyDescent="0.2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 x14ac:dyDescent="0.2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 x14ac:dyDescent="0.2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 x14ac:dyDescent="0.2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 x14ac:dyDescent="0.2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 x14ac:dyDescent="0.2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 x14ac:dyDescent="0.2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 x14ac:dyDescent="0.2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 x14ac:dyDescent="0.2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 x14ac:dyDescent="0.2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 x14ac:dyDescent="0.2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 x14ac:dyDescent="0.2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 x14ac:dyDescent="0.2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 x14ac:dyDescent="0.2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 x14ac:dyDescent="0.2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 x14ac:dyDescent="0.2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 x14ac:dyDescent="0.2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 x14ac:dyDescent="0.2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 x14ac:dyDescent="0.2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 x14ac:dyDescent="0.2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 x14ac:dyDescent="0.2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 x14ac:dyDescent="0.2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 x14ac:dyDescent="0.2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 x14ac:dyDescent="0.2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 x14ac:dyDescent="0.2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 x14ac:dyDescent="0.2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 x14ac:dyDescent="0.2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 x14ac:dyDescent="0.2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 x14ac:dyDescent="0.2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 x14ac:dyDescent="0.2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 x14ac:dyDescent="0.2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 x14ac:dyDescent="0.2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 x14ac:dyDescent="0.2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 x14ac:dyDescent="0.2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 x14ac:dyDescent="0.2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 x14ac:dyDescent="0.2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 x14ac:dyDescent="0.2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 x14ac:dyDescent="0.2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 x14ac:dyDescent="0.2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 x14ac:dyDescent="0.2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 x14ac:dyDescent="0.2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 x14ac:dyDescent="0.2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 x14ac:dyDescent="0.2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 x14ac:dyDescent="0.2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 x14ac:dyDescent="0.2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 x14ac:dyDescent="0.2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 x14ac:dyDescent="0.2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 x14ac:dyDescent="0.2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 x14ac:dyDescent="0.2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 x14ac:dyDescent="0.2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 x14ac:dyDescent="0.2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 x14ac:dyDescent="0.2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 x14ac:dyDescent="0.2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 x14ac:dyDescent="0.2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 x14ac:dyDescent="0.2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 x14ac:dyDescent="0.2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 x14ac:dyDescent="0.2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 x14ac:dyDescent="0.2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 x14ac:dyDescent="0.2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 x14ac:dyDescent="0.2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 x14ac:dyDescent="0.2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 x14ac:dyDescent="0.2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 x14ac:dyDescent="0.2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 x14ac:dyDescent="0.2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 x14ac:dyDescent="0.2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 x14ac:dyDescent="0.2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 x14ac:dyDescent="0.2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 x14ac:dyDescent="0.2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 x14ac:dyDescent="0.2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 x14ac:dyDescent="0.2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 x14ac:dyDescent="0.2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 x14ac:dyDescent="0.2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 x14ac:dyDescent="0.2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 x14ac:dyDescent="0.2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 x14ac:dyDescent="0.2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 x14ac:dyDescent="0.2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 x14ac:dyDescent="0.2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 x14ac:dyDescent="0.2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 x14ac:dyDescent="0.2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 x14ac:dyDescent="0.2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 x14ac:dyDescent="0.2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 x14ac:dyDescent="0.2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 x14ac:dyDescent="0.2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 x14ac:dyDescent="0.2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 x14ac:dyDescent="0.2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 x14ac:dyDescent="0.2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 x14ac:dyDescent="0.2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 x14ac:dyDescent="0.2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 x14ac:dyDescent="0.2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 x14ac:dyDescent="0.2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 x14ac:dyDescent="0.2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 x14ac:dyDescent="0.2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 x14ac:dyDescent="0.2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 x14ac:dyDescent="0.2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 x14ac:dyDescent="0.2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 x14ac:dyDescent="0.2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 x14ac:dyDescent="0.2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 x14ac:dyDescent="0.2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 x14ac:dyDescent="0.2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 x14ac:dyDescent="0.2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 x14ac:dyDescent="0.2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 x14ac:dyDescent="0.2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 x14ac:dyDescent="0.2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 x14ac:dyDescent="0.2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 x14ac:dyDescent="0.2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 x14ac:dyDescent="0.2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 x14ac:dyDescent="0.2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 x14ac:dyDescent="0.2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 x14ac:dyDescent="0.2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 x14ac:dyDescent="0.2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 x14ac:dyDescent="0.2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 x14ac:dyDescent="0.2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 x14ac:dyDescent="0.2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 x14ac:dyDescent="0.2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 x14ac:dyDescent="0.2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 x14ac:dyDescent="0.2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 x14ac:dyDescent="0.2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 x14ac:dyDescent="0.2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 x14ac:dyDescent="0.2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 x14ac:dyDescent="0.2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 x14ac:dyDescent="0.2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 x14ac:dyDescent="0.2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 x14ac:dyDescent="0.2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 x14ac:dyDescent="0.2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 x14ac:dyDescent="0.2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 x14ac:dyDescent="0.2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 x14ac:dyDescent="0.2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 x14ac:dyDescent="0.2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 x14ac:dyDescent="0.2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 x14ac:dyDescent="0.2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 x14ac:dyDescent="0.2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 x14ac:dyDescent="0.2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 x14ac:dyDescent="0.2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 x14ac:dyDescent="0.2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 x14ac:dyDescent="0.2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 x14ac:dyDescent="0.2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 x14ac:dyDescent="0.2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 x14ac:dyDescent="0.2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 x14ac:dyDescent="0.2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 x14ac:dyDescent="0.2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 x14ac:dyDescent="0.2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 x14ac:dyDescent="0.2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 x14ac:dyDescent="0.2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 x14ac:dyDescent="0.2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 x14ac:dyDescent="0.2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 x14ac:dyDescent="0.2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 x14ac:dyDescent="0.2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 x14ac:dyDescent="0.2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 x14ac:dyDescent="0.2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 x14ac:dyDescent="0.2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 x14ac:dyDescent="0.2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 x14ac:dyDescent="0.2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 x14ac:dyDescent="0.2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 x14ac:dyDescent="0.2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 x14ac:dyDescent="0.2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 x14ac:dyDescent="0.2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 x14ac:dyDescent="0.2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 x14ac:dyDescent="0.2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 x14ac:dyDescent="0.2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 x14ac:dyDescent="0.2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 x14ac:dyDescent="0.2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 x14ac:dyDescent="0.2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 x14ac:dyDescent="0.2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 x14ac:dyDescent="0.2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 x14ac:dyDescent="0.2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 x14ac:dyDescent="0.2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 x14ac:dyDescent="0.2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 x14ac:dyDescent="0.2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 x14ac:dyDescent="0.2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 x14ac:dyDescent="0.2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 x14ac:dyDescent="0.2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 x14ac:dyDescent="0.2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 x14ac:dyDescent="0.2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 x14ac:dyDescent="0.2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 x14ac:dyDescent="0.2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 x14ac:dyDescent="0.2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 x14ac:dyDescent="0.2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 x14ac:dyDescent="0.2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 x14ac:dyDescent="0.2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 x14ac:dyDescent="0.2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 x14ac:dyDescent="0.2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 x14ac:dyDescent="0.2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 x14ac:dyDescent="0.2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 x14ac:dyDescent="0.2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 x14ac:dyDescent="0.2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 x14ac:dyDescent="0.2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 x14ac:dyDescent="0.2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 x14ac:dyDescent="0.2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 x14ac:dyDescent="0.2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 x14ac:dyDescent="0.2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 x14ac:dyDescent="0.2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 x14ac:dyDescent="0.2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 x14ac:dyDescent="0.2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 x14ac:dyDescent="0.2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 x14ac:dyDescent="0.2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 x14ac:dyDescent="0.2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 x14ac:dyDescent="0.2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 x14ac:dyDescent="0.2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 x14ac:dyDescent="0.2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 x14ac:dyDescent="0.2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 x14ac:dyDescent="0.2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 x14ac:dyDescent="0.2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 x14ac:dyDescent="0.2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 x14ac:dyDescent="0.2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 x14ac:dyDescent="0.2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 x14ac:dyDescent="0.2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 x14ac:dyDescent="0.2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 x14ac:dyDescent="0.2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 x14ac:dyDescent="0.2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 x14ac:dyDescent="0.2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 x14ac:dyDescent="0.2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 x14ac:dyDescent="0.2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 x14ac:dyDescent="0.2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 x14ac:dyDescent="0.2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 x14ac:dyDescent="0.2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 x14ac:dyDescent="0.2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 x14ac:dyDescent="0.2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 x14ac:dyDescent="0.2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 x14ac:dyDescent="0.2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 x14ac:dyDescent="0.2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 x14ac:dyDescent="0.2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 x14ac:dyDescent="0.2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 x14ac:dyDescent="0.2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 x14ac:dyDescent="0.2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 x14ac:dyDescent="0.2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 x14ac:dyDescent="0.2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 x14ac:dyDescent="0.2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 x14ac:dyDescent="0.2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 x14ac:dyDescent="0.2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 x14ac:dyDescent="0.2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 x14ac:dyDescent="0.2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 x14ac:dyDescent="0.2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 x14ac:dyDescent="0.2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 x14ac:dyDescent="0.2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 x14ac:dyDescent="0.2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 x14ac:dyDescent="0.2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 x14ac:dyDescent="0.2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 x14ac:dyDescent="0.2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 x14ac:dyDescent="0.2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 x14ac:dyDescent="0.2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 x14ac:dyDescent="0.2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 x14ac:dyDescent="0.2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 x14ac:dyDescent="0.2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 x14ac:dyDescent="0.2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 x14ac:dyDescent="0.2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 x14ac:dyDescent="0.2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 x14ac:dyDescent="0.2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 x14ac:dyDescent="0.2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 x14ac:dyDescent="0.2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 x14ac:dyDescent="0.2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 x14ac:dyDescent="0.2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 x14ac:dyDescent="0.2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 x14ac:dyDescent="0.2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 x14ac:dyDescent="0.2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 x14ac:dyDescent="0.2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 x14ac:dyDescent="0.2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 x14ac:dyDescent="0.2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 x14ac:dyDescent="0.2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 x14ac:dyDescent="0.2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 x14ac:dyDescent="0.2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 x14ac:dyDescent="0.2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 x14ac:dyDescent="0.2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 x14ac:dyDescent="0.2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 x14ac:dyDescent="0.2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 x14ac:dyDescent="0.2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 x14ac:dyDescent="0.2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 x14ac:dyDescent="0.2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 x14ac:dyDescent="0.2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 x14ac:dyDescent="0.2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 x14ac:dyDescent="0.2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 x14ac:dyDescent="0.2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 x14ac:dyDescent="0.2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 x14ac:dyDescent="0.2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 x14ac:dyDescent="0.2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 x14ac:dyDescent="0.2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 x14ac:dyDescent="0.2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 x14ac:dyDescent="0.2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 x14ac:dyDescent="0.2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 x14ac:dyDescent="0.2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 x14ac:dyDescent="0.2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 x14ac:dyDescent="0.2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 x14ac:dyDescent="0.2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 x14ac:dyDescent="0.2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 x14ac:dyDescent="0.2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 x14ac:dyDescent="0.2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 x14ac:dyDescent="0.2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 x14ac:dyDescent="0.2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 x14ac:dyDescent="0.2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 x14ac:dyDescent="0.2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 x14ac:dyDescent="0.2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 x14ac:dyDescent="0.2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 x14ac:dyDescent="0.2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 x14ac:dyDescent="0.2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 x14ac:dyDescent="0.2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 x14ac:dyDescent="0.2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 x14ac:dyDescent="0.2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 x14ac:dyDescent="0.2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 x14ac:dyDescent="0.2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 x14ac:dyDescent="0.2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 x14ac:dyDescent="0.2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 x14ac:dyDescent="0.2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 x14ac:dyDescent="0.2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 x14ac:dyDescent="0.2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 x14ac:dyDescent="0.2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 x14ac:dyDescent="0.2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 x14ac:dyDescent="0.2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 x14ac:dyDescent="0.2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 x14ac:dyDescent="0.2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 x14ac:dyDescent="0.2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 x14ac:dyDescent="0.2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 x14ac:dyDescent="0.2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 x14ac:dyDescent="0.2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 x14ac:dyDescent="0.2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 x14ac:dyDescent="0.2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 x14ac:dyDescent="0.2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 x14ac:dyDescent="0.2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 x14ac:dyDescent="0.2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 x14ac:dyDescent="0.2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 x14ac:dyDescent="0.2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 x14ac:dyDescent="0.2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 x14ac:dyDescent="0.2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 x14ac:dyDescent="0.2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 x14ac:dyDescent="0.2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 x14ac:dyDescent="0.2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 x14ac:dyDescent="0.2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 x14ac:dyDescent="0.2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 x14ac:dyDescent="0.2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 x14ac:dyDescent="0.2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 x14ac:dyDescent="0.2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 x14ac:dyDescent="0.2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 x14ac:dyDescent="0.2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 x14ac:dyDescent="0.2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 x14ac:dyDescent="0.2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 x14ac:dyDescent="0.2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 x14ac:dyDescent="0.2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 x14ac:dyDescent="0.2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 x14ac:dyDescent="0.2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 x14ac:dyDescent="0.2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 x14ac:dyDescent="0.2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 x14ac:dyDescent="0.2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 x14ac:dyDescent="0.2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 x14ac:dyDescent="0.2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 x14ac:dyDescent="0.2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 x14ac:dyDescent="0.2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 x14ac:dyDescent="0.2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 x14ac:dyDescent="0.2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 x14ac:dyDescent="0.2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 x14ac:dyDescent="0.2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 x14ac:dyDescent="0.2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 x14ac:dyDescent="0.2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 x14ac:dyDescent="0.2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 x14ac:dyDescent="0.2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 x14ac:dyDescent="0.2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 x14ac:dyDescent="0.2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 x14ac:dyDescent="0.2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 x14ac:dyDescent="0.2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 x14ac:dyDescent="0.2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 x14ac:dyDescent="0.2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 x14ac:dyDescent="0.2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 x14ac:dyDescent="0.2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 x14ac:dyDescent="0.2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 x14ac:dyDescent="0.2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 x14ac:dyDescent="0.2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 x14ac:dyDescent="0.2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 x14ac:dyDescent="0.2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 x14ac:dyDescent="0.2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 x14ac:dyDescent="0.2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 x14ac:dyDescent="0.2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 x14ac:dyDescent="0.2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 x14ac:dyDescent="0.2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 x14ac:dyDescent="0.2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 x14ac:dyDescent="0.2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 x14ac:dyDescent="0.2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 x14ac:dyDescent="0.2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 x14ac:dyDescent="0.2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 x14ac:dyDescent="0.2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 x14ac:dyDescent="0.2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 x14ac:dyDescent="0.2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 x14ac:dyDescent="0.2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 x14ac:dyDescent="0.2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 x14ac:dyDescent="0.2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 x14ac:dyDescent="0.2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 x14ac:dyDescent="0.2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 x14ac:dyDescent="0.2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 x14ac:dyDescent="0.2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 x14ac:dyDescent="0.2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 x14ac:dyDescent="0.2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 x14ac:dyDescent="0.2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 x14ac:dyDescent="0.2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 x14ac:dyDescent="0.2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 x14ac:dyDescent="0.2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 x14ac:dyDescent="0.2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 x14ac:dyDescent="0.2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 x14ac:dyDescent="0.2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 x14ac:dyDescent="0.2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 x14ac:dyDescent="0.2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 x14ac:dyDescent="0.2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 x14ac:dyDescent="0.2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 x14ac:dyDescent="0.2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 x14ac:dyDescent="0.2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 x14ac:dyDescent="0.2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 x14ac:dyDescent="0.2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 x14ac:dyDescent="0.2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 x14ac:dyDescent="0.2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 x14ac:dyDescent="0.2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 x14ac:dyDescent="0.2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 x14ac:dyDescent="0.2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 x14ac:dyDescent="0.2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 x14ac:dyDescent="0.2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 x14ac:dyDescent="0.2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 x14ac:dyDescent="0.2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 x14ac:dyDescent="0.2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 x14ac:dyDescent="0.2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 x14ac:dyDescent="0.2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 x14ac:dyDescent="0.2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 x14ac:dyDescent="0.2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 x14ac:dyDescent="0.2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 x14ac:dyDescent="0.2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 x14ac:dyDescent="0.2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 x14ac:dyDescent="0.2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 x14ac:dyDescent="0.2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 x14ac:dyDescent="0.2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 x14ac:dyDescent="0.2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 x14ac:dyDescent="0.2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 x14ac:dyDescent="0.2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 x14ac:dyDescent="0.2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 x14ac:dyDescent="0.2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 x14ac:dyDescent="0.2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 x14ac:dyDescent="0.2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 x14ac:dyDescent="0.2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 x14ac:dyDescent="0.2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 x14ac:dyDescent="0.2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 x14ac:dyDescent="0.2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 x14ac:dyDescent="0.2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 x14ac:dyDescent="0.2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 x14ac:dyDescent="0.2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 x14ac:dyDescent="0.2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 x14ac:dyDescent="0.2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 x14ac:dyDescent="0.2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 x14ac:dyDescent="0.2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 x14ac:dyDescent="0.2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 x14ac:dyDescent="0.2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 x14ac:dyDescent="0.2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 x14ac:dyDescent="0.2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 x14ac:dyDescent="0.2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 x14ac:dyDescent="0.2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 x14ac:dyDescent="0.2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 x14ac:dyDescent="0.2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 x14ac:dyDescent="0.2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 x14ac:dyDescent="0.2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 x14ac:dyDescent="0.2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 x14ac:dyDescent="0.2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 x14ac:dyDescent="0.2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 x14ac:dyDescent="0.2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 x14ac:dyDescent="0.2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 x14ac:dyDescent="0.2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 x14ac:dyDescent="0.2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 x14ac:dyDescent="0.2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 x14ac:dyDescent="0.2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 x14ac:dyDescent="0.2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 x14ac:dyDescent="0.2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 x14ac:dyDescent="0.2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 x14ac:dyDescent="0.2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 x14ac:dyDescent="0.2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 x14ac:dyDescent="0.2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 x14ac:dyDescent="0.2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 x14ac:dyDescent="0.2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 x14ac:dyDescent="0.2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 x14ac:dyDescent="0.2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 x14ac:dyDescent="0.2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 x14ac:dyDescent="0.2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 x14ac:dyDescent="0.2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 x14ac:dyDescent="0.2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 x14ac:dyDescent="0.2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 x14ac:dyDescent="0.2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 x14ac:dyDescent="0.2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 x14ac:dyDescent="0.2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 x14ac:dyDescent="0.2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 x14ac:dyDescent="0.2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 x14ac:dyDescent="0.2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 x14ac:dyDescent="0.2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 x14ac:dyDescent="0.2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 x14ac:dyDescent="0.2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 x14ac:dyDescent="0.2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 x14ac:dyDescent="0.2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 x14ac:dyDescent="0.2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 x14ac:dyDescent="0.2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 x14ac:dyDescent="0.2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 x14ac:dyDescent="0.2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 x14ac:dyDescent="0.2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 x14ac:dyDescent="0.2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 x14ac:dyDescent="0.2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 x14ac:dyDescent="0.2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 x14ac:dyDescent="0.2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 x14ac:dyDescent="0.2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 x14ac:dyDescent="0.2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 x14ac:dyDescent="0.2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 x14ac:dyDescent="0.2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 x14ac:dyDescent="0.2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 x14ac:dyDescent="0.2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 x14ac:dyDescent="0.2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 x14ac:dyDescent="0.2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 x14ac:dyDescent="0.2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 x14ac:dyDescent="0.2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 x14ac:dyDescent="0.2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 x14ac:dyDescent="0.2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 x14ac:dyDescent="0.2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 x14ac:dyDescent="0.2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 x14ac:dyDescent="0.2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 x14ac:dyDescent="0.2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 x14ac:dyDescent="0.2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 x14ac:dyDescent="0.2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 x14ac:dyDescent="0.2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 x14ac:dyDescent="0.2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 x14ac:dyDescent="0.2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 x14ac:dyDescent="0.2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 x14ac:dyDescent="0.2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 x14ac:dyDescent="0.2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 x14ac:dyDescent="0.2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 x14ac:dyDescent="0.2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 x14ac:dyDescent="0.2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 x14ac:dyDescent="0.2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 x14ac:dyDescent="0.2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 x14ac:dyDescent="0.2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 x14ac:dyDescent="0.2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 x14ac:dyDescent="0.2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 x14ac:dyDescent="0.2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 x14ac:dyDescent="0.2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 x14ac:dyDescent="0.2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 x14ac:dyDescent="0.2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 x14ac:dyDescent="0.2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 x14ac:dyDescent="0.2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 x14ac:dyDescent="0.2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 x14ac:dyDescent="0.2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 x14ac:dyDescent="0.2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 x14ac:dyDescent="0.2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 x14ac:dyDescent="0.2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 x14ac:dyDescent="0.2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 x14ac:dyDescent="0.2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 x14ac:dyDescent="0.2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 x14ac:dyDescent="0.2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 x14ac:dyDescent="0.2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 x14ac:dyDescent="0.2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 x14ac:dyDescent="0.2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 x14ac:dyDescent="0.2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 x14ac:dyDescent="0.2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 x14ac:dyDescent="0.2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 x14ac:dyDescent="0.2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 x14ac:dyDescent="0.2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 x14ac:dyDescent="0.2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 x14ac:dyDescent="0.2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 x14ac:dyDescent="0.2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 x14ac:dyDescent="0.2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 x14ac:dyDescent="0.2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 x14ac:dyDescent="0.2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 x14ac:dyDescent="0.2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 x14ac:dyDescent="0.2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 x14ac:dyDescent="0.2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 x14ac:dyDescent="0.2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 x14ac:dyDescent="0.2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 x14ac:dyDescent="0.2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 x14ac:dyDescent="0.2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 x14ac:dyDescent="0.2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 x14ac:dyDescent="0.2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 x14ac:dyDescent="0.2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 x14ac:dyDescent="0.2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 x14ac:dyDescent="0.2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 x14ac:dyDescent="0.2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 x14ac:dyDescent="0.2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 x14ac:dyDescent="0.2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 x14ac:dyDescent="0.2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 x14ac:dyDescent="0.2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 x14ac:dyDescent="0.2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 x14ac:dyDescent="0.2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 x14ac:dyDescent="0.2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 x14ac:dyDescent="0.2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 x14ac:dyDescent="0.2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 x14ac:dyDescent="0.2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 x14ac:dyDescent="0.2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 x14ac:dyDescent="0.2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 x14ac:dyDescent="0.2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 x14ac:dyDescent="0.2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 x14ac:dyDescent="0.2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 x14ac:dyDescent="0.2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 x14ac:dyDescent="0.2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 x14ac:dyDescent="0.2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 x14ac:dyDescent="0.2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 x14ac:dyDescent="0.2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 x14ac:dyDescent="0.2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 x14ac:dyDescent="0.2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 x14ac:dyDescent="0.2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 x14ac:dyDescent="0.2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 x14ac:dyDescent="0.2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 x14ac:dyDescent="0.2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 x14ac:dyDescent="0.2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 x14ac:dyDescent="0.2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 x14ac:dyDescent="0.2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 x14ac:dyDescent="0.2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 x14ac:dyDescent="0.2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 x14ac:dyDescent="0.2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 x14ac:dyDescent="0.2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 x14ac:dyDescent="0.2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 x14ac:dyDescent="0.2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 x14ac:dyDescent="0.2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 x14ac:dyDescent="0.2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 x14ac:dyDescent="0.2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 x14ac:dyDescent="0.2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 x14ac:dyDescent="0.2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 x14ac:dyDescent="0.2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 x14ac:dyDescent="0.2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 x14ac:dyDescent="0.2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 x14ac:dyDescent="0.2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 x14ac:dyDescent="0.2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 x14ac:dyDescent="0.2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 x14ac:dyDescent="0.2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 x14ac:dyDescent="0.2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 x14ac:dyDescent="0.2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 x14ac:dyDescent="0.2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 x14ac:dyDescent="0.2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 x14ac:dyDescent="0.2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 x14ac:dyDescent="0.2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 x14ac:dyDescent="0.2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 x14ac:dyDescent="0.2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 x14ac:dyDescent="0.2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 x14ac:dyDescent="0.2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 x14ac:dyDescent="0.2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 x14ac:dyDescent="0.2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 x14ac:dyDescent="0.2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 x14ac:dyDescent="0.2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 x14ac:dyDescent="0.2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 x14ac:dyDescent="0.2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 x14ac:dyDescent="0.2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 x14ac:dyDescent="0.2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 x14ac:dyDescent="0.2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 x14ac:dyDescent="0.2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 x14ac:dyDescent="0.2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 x14ac:dyDescent="0.2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 x14ac:dyDescent="0.2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 x14ac:dyDescent="0.2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 x14ac:dyDescent="0.2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 x14ac:dyDescent="0.2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 x14ac:dyDescent="0.2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 x14ac:dyDescent="0.2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 x14ac:dyDescent="0.2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 x14ac:dyDescent="0.2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 x14ac:dyDescent="0.2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 x14ac:dyDescent="0.2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 x14ac:dyDescent="0.2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 x14ac:dyDescent="0.2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 x14ac:dyDescent="0.2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 x14ac:dyDescent="0.2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 x14ac:dyDescent="0.2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 x14ac:dyDescent="0.2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 x14ac:dyDescent="0.2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 x14ac:dyDescent="0.2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 x14ac:dyDescent="0.2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 x14ac:dyDescent="0.2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 x14ac:dyDescent="0.2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 x14ac:dyDescent="0.2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 x14ac:dyDescent="0.2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 x14ac:dyDescent="0.2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 x14ac:dyDescent="0.2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 x14ac:dyDescent="0.2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 x14ac:dyDescent="0.2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 x14ac:dyDescent="0.2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 x14ac:dyDescent="0.2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 x14ac:dyDescent="0.2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 x14ac:dyDescent="0.2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 x14ac:dyDescent="0.2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 x14ac:dyDescent="0.2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 x14ac:dyDescent="0.2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 x14ac:dyDescent="0.2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 x14ac:dyDescent="0.2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 x14ac:dyDescent="0.2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 x14ac:dyDescent="0.2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 x14ac:dyDescent="0.2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 x14ac:dyDescent="0.2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 x14ac:dyDescent="0.2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 x14ac:dyDescent="0.2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 x14ac:dyDescent="0.2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 x14ac:dyDescent="0.2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 x14ac:dyDescent="0.2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 x14ac:dyDescent="0.2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 x14ac:dyDescent="0.2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 x14ac:dyDescent="0.2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 x14ac:dyDescent="0.2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 x14ac:dyDescent="0.2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 x14ac:dyDescent="0.2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 x14ac:dyDescent="0.2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 x14ac:dyDescent="0.2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 x14ac:dyDescent="0.2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 x14ac:dyDescent="0.2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 x14ac:dyDescent="0.2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 x14ac:dyDescent="0.2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 x14ac:dyDescent="0.2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 x14ac:dyDescent="0.2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 x14ac:dyDescent="0.2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 x14ac:dyDescent="0.2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 x14ac:dyDescent="0.2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 x14ac:dyDescent="0.2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 x14ac:dyDescent="0.2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 x14ac:dyDescent="0.2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 x14ac:dyDescent="0.2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 x14ac:dyDescent="0.2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 x14ac:dyDescent="0.2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 x14ac:dyDescent="0.2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 x14ac:dyDescent="0.2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 x14ac:dyDescent="0.2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 x14ac:dyDescent="0.2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 x14ac:dyDescent="0.2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 x14ac:dyDescent="0.2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 x14ac:dyDescent="0.2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 x14ac:dyDescent="0.2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 x14ac:dyDescent="0.2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 x14ac:dyDescent="0.2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 x14ac:dyDescent="0.2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 x14ac:dyDescent="0.2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 x14ac:dyDescent="0.2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 x14ac:dyDescent="0.2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 x14ac:dyDescent="0.2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 x14ac:dyDescent="0.2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 x14ac:dyDescent="0.2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 x14ac:dyDescent="0.2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 x14ac:dyDescent="0.2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 x14ac:dyDescent="0.2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 x14ac:dyDescent="0.2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 x14ac:dyDescent="0.2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 x14ac:dyDescent="0.2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 x14ac:dyDescent="0.2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 x14ac:dyDescent="0.2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 x14ac:dyDescent="0.2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 x14ac:dyDescent="0.2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 x14ac:dyDescent="0.2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 x14ac:dyDescent="0.2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 x14ac:dyDescent="0.2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 x14ac:dyDescent="0.2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 x14ac:dyDescent="0.2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 x14ac:dyDescent="0.2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 x14ac:dyDescent="0.2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 x14ac:dyDescent="0.2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 x14ac:dyDescent="0.2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 x14ac:dyDescent="0.2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 x14ac:dyDescent="0.2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 x14ac:dyDescent="0.2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 x14ac:dyDescent="0.2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 x14ac:dyDescent="0.2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 x14ac:dyDescent="0.2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 x14ac:dyDescent="0.2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 x14ac:dyDescent="0.2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 x14ac:dyDescent="0.2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 x14ac:dyDescent="0.2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 x14ac:dyDescent="0.2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 x14ac:dyDescent="0.2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 x14ac:dyDescent="0.2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 x14ac:dyDescent="0.2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 x14ac:dyDescent="0.2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 x14ac:dyDescent="0.2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 x14ac:dyDescent="0.2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 x14ac:dyDescent="0.2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 x14ac:dyDescent="0.2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 x14ac:dyDescent="0.2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 x14ac:dyDescent="0.2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 x14ac:dyDescent="0.2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 x14ac:dyDescent="0.2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 x14ac:dyDescent="0.2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 x14ac:dyDescent="0.2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 x14ac:dyDescent="0.2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 x14ac:dyDescent="0.2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 x14ac:dyDescent="0.2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 x14ac:dyDescent="0.2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 x14ac:dyDescent="0.2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 x14ac:dyDescent="0.2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 x14ac:dyDescent="0.2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 x14ac:dyDescent="0.2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 x14ac:dyDescent="0.2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 x14ac:dyDescent="0.2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 x14ac:dyDescent="0.2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 x14ac:dyDescent="0.2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 x14ac:dyDescent="0.2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 x14ac:dyDescent="0.2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 x14ac:dyDescent="0.2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 x14ac:dyDescent="0.2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 x14ac:dyDescent="0.2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 x14ac:dyDescent="0.2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 x14ac:dyDescent="0.2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 x14ac:dyDescent="0.2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 x14ac:dyDescent="0.2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 x14ac:dyDescent="0.2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 x14ac:dyDescent="0.2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 x14ac:dyDescent="0.2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 x14ac:dyDescent="0.2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 x14ac:dyDescent="0.2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 x14ac:dyDescent="0.2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 x14ac:dyDescent="0.2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 x14ac:dyDescent="0.2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 x14ac:dyDescent="0.2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 x14ac:dyDescent="0.2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 x14ac:dyDescent="0.2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 x14ac:dyDescent="0.2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 x14ac:dyDescent="0.2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 x14ac:dyDescent="0.2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 x14ac:dyDescent="0.2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 x14ac:dyDescent="0.2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 x14ac:dyDescent="0.2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 x14ac:dyDescent="0.2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 x14ac:dyDescent="0.2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 x14ac:dyDescent="0.2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 x14ac:dyDescent="0.2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 x14ac:dyDescent="0.2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 x14ac:dyDescent="0.2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 x14ac:dyDescent="0.2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 x14ac:dyDescent="0.2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 x14ac:dyDescent="0.2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 x14ac:dyDescent="0.2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 x14ac:dyDescent="0.2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 x14ac:dyDescent="0.2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 x14ac:dyDescent="0.2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 x14ac:dyDescent="0.2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 x14ac:dyDescent="0.2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 x14ac:dyDescent="0.2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 x14ac:dyDescent="0.2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 x14ac:dyDescent="0.2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 x14ac:dyDescent="0.2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 x14ac:dyDescent="0.2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 x14ac:dyDescent="0.2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 x14ac:dyDescent="0.2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 x14ac:dyDescent="0.2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 x14ac:dyDescent="0.2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 x14ac:dyDescent="0.2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 x14ac:dyDescent="0.2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 x14ac:dyDescent="0.2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 x14ac:dyDescent="0.2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 x14ac:dyDescent="0.2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 x14ac:dyDescent="0.2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 x14ac:dyDescent="0.2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 x14ac:dyDescent="0.2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 x14ac:dyDescent="0.2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 x14ac:dyDescent="0.2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 x14ac:dyDescent="0.2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 x14ac:dyDescent="0.2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 x14ac:dyDescent="0.2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 x14ac:dyDescent="0.2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 x14ac:dyDescent="0.2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 x14ac:dyDescent="0.2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 x14ac:dyDescent="0.2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 x14ac:dyDescent="0.2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 x14ac:dyDescent="0.2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 x14ac:dyDescent="0.2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 x14ac:dyDescent="0.2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 x14ac:dyDescent="0.2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 x14ac:dyDescent="0.2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 x14ac:dyDescent="0.2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 x14ac:dyDescent="0.2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 x14ac:dyDescent="0.2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 x14ac:dyDescent="0.2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 x14ac:dyDescent="0.2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 x14ac:dyDescent="0.2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 x14ac:dyDescent="0.2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 x14ac:dyDescent="0.2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 x14ac:dyDescent="0.2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 x14ac:dyDescent="0.2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 x14ac:dyDescent="0.2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 x14ac:dyDescent="0.2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 x14ac:dyDescent="0.2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 x14ac:dyDescent="0.2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 x14ac:dyDescent="0.2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 x14ac:dyDescent="0.2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 x14ac:dyDescent="0.2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 x14ac:dyDescent="0.2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 x14ac:dyDescent="0.2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 x14ac:dyDescent="0.2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 x14ac:dyDescent="0.2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 x14ac:dyDescent="0.2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 x14ac:dyDescent="0.2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 x14ac:dyDescent="0.2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 x14ac:dyDescent="0.2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 x14ac:dyDescent="0.2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 x14ac:dyDescent="0.2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 x14ac:dyDescent="0.2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 x14ac:dyDescent="0.2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 x14ac:dyDescent="0.2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 x14ac:dyDescent="0.2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 x14ac:dyDescent="0.2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 x14ac:dyDescent="0.2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 x14ac:dyDescent="0.2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 x14ac:dyDescent="0.2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 x14ac:dyDescent="0.2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 x14ac:dyDescent="0.2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 x14ac:dyDescent="0.2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 x14ac:dyDescent="0.2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 x14ac:dyDescent="0.2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 x14ac:dyDescent="0.2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 x14ac:dyDescent="0.2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 x14ac:dyDescent="0.2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 x14ac:dyDescent="0.2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 x14ac:dyDescent="0.2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 x14ac:dyDescent="0.2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 x14ac:dyDescent="0.2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 x14ac:dyDescent="0.2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 x14ac:dyDescent="0.2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 x14ac:dyDescent="0.2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 x14ac:dyDescent="0.2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 x14ac:dyDescent="0.2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 x14ac:dyDescent="0.2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 x14ac:dyDescent="0.2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 x14ac:dyDescent="0.2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 x14ac:dyDescent="0.2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 x14ac:dyDescent="0.2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 x14ac:dyDescent="0.2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 x14ac:dyDescent="0.2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 x14ac:dyDescent="0.2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 x14ac:dyDescent="0.2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 x14ac:dyDescent="0.2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 x14ac:dyDescent="0.2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 x14ac:dyDescent="0.2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 x14ac:dyDescent="0.2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 x14ac:dyDescent="0.2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 x14ac:dyDescent="0.2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 x14ac:dyDescent="0.2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 x14ac:dyDescent="0.2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 x14ac:dyDescent="0.2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 x14ac:dyDescent="0.2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 x14ac:dyDescent="0.2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 x14ac:dyDescent="0.2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 x14ac:dyDescent="0.2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 x14ac:dyDescent="0.2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 x14ac:dyDescent="0.2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 x14ac:dyDescent="0.2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 x14ac:dyDescent="0.2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 x14ac:dyDescent="0.2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 x14ac:dyDescent="0.2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 x14ac:dyDescent="0.2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 x14ac:dyDescent="0.2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 x14ac:dyDescent="0.2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 x14ac:dyDescent="0.2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 x14ac:dyDescent="0.2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 x14ac:dyDescent="0.2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 x14ac:dyDescent="0.2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 x14ac:dyDescent="0.2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 x14ac:dyDescent="0.2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 x14ac:dyDescent="0.2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 x14ac:dyDescent="0.2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 x14ac:dyDescent="0.2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 x14ac:dyDescent="0.2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 x14ac:dyDescent="0.2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 x14ac:dyDescent="0.2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 x14ac:dyDescent="0.2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 x14ac:dyDescent="0.2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 x14ac:dyDescent="0.2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 x14ac:dyDescent="0.2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 x14ac:dyDescent="0.2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 x14ac:dyDescent="0.2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 x14ac:dyDescent="0.2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 x14ac:dyDescent="0.2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 x14ac:dyDescent="0.2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 x14ac:dyDescent="0.2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 x14ac:dyDescent="0.2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 x14ac:dyDescent="0.2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 x14ac:dyDescent="0.2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 x14ac:dyDescent="0.2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 x14ac:dyDescent="0.2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 x14ac:dyDescent="0.2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 x14ac:dyDescent="0.2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 x14ac:dyDescent="0.2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 x14ac:dyDescent="0.2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 x14ac:dyDescent="0.2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 x14ac:dyDescent="0.2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 x14ac:dyDescent="0.2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 x14ac:dyDescent="0.2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 x14ac:dyDescent="0.2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 x14ac:dyDescent="0.2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 x14ac:dyDescent="0.2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 x14ac:dyDescent="0.2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 x14ac:dyDescent="0.2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 x14ac:dyDescent="0.2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 x14ac:dyDescent="0.2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 x14ac:dyDescent="0.2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 x14ac:dyDescent="0.2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 x14ac:dyDescent="0.2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 x14ac:dyDescent="0.2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 x14ac:dyDescent="0.2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 x14ac:dyDescent="0.2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 x14ac:dyDescent="0.2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 x14ac:dyDescent="0.2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 x14ac:dyDescent="0.2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 x14ac:dyDescent="0.2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 x14ac:dyDescent="0.2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 x14ac:dyDescent="0.2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 x14ac:dyDescent="0.2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 x14ac:dyDescent="0.2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 x14ac:dyDescent="0.2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 x14ac:dyDescent="0.2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 x14ac:dyDescent="0.2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 x14ac:dyDescent="0.2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 x14ac:dyDescent="0.2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 x14ac:dyDescent="0.2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 x14ac:dyDescent="0.2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 x14ac:dyDescent="0.2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 x14ac:dyDescent="0.2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 x14ac:dyDescent="0.2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 x14ac:dyDescent="0.2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 x14ac:dyDescent="0.2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 x14ac:dyDescent="0.2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 x14ac:dyDescent="0.2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 x14ac:dyDescent="0.2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 x14ac:dyDescent="0.2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 x14ac:dyDescent="0.2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 x14ac:dyDescent="0.2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 x14ac:dyDescent="0.2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 x14ac:dyDescent="0.2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 x14ac:dyDescent="0.2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 x14ac:dyDescent="0.2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 x14ac:dyDescent="0.2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 x14ac:dyDescent="0.2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 x14ac:dyDescent="0.2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 x14ac:dyDescent="0.2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 x14ac:dyDescent="0.2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 x14ac:dyDescent="0.2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 x14ac:dyDescent="0.2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 x14ac:dyDescent="0.2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 x14ac:dyDescent="0.2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 x14ac:dyDescent="0.2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 x14ac:dyDescent="0.2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 x14ac:dyDescent="0.2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 x14ac:dyDescent="0.2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 x14ac:dyDescent="0.2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 x14ac:dyDescent="0.2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 x14ac:dyDescent="0.2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 x14ac:dyDescent="0.2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 x14ac:dyDescent="0.2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 x14ac:dyDescent="0.2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 x14ac:dyDescent="0.2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 x14ac:dyDescent="0.2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 x14ac:dyDescent="0.2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 x14ac:dyDescent="0.2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 x14ac:dyDescent="0.2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 x14ac:dyDescent="0.2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 x14ac:dyDescent="0.2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 x14ac:dyDescent="0.2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 x14ac:dyDescent="0.2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 x14ac:dyDescent="0.2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 x14ac:dyDescent="0.2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 x14ac:dyDescent="0.2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 x14ac:dyDescent="0.2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 x14ac:dyDescent="0.2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 x14ac:dyDescent="0.2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 x14ac:dyDescent="0.2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 x14ac:dyDescent="0.2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 x14ac:dyDescent="0.2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 x14ac:dyDescent="0.2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 x14ac:dyDescent="0.2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 x14ac:dyDescent="0.2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 x14ac:dyDescent="0.2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 x14ac:dyDescent="0.2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 x14ac:dyDescent="0.2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 x14ac:dyDescent="0.2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 x14ac:dyDescent="0.2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 x14ac:dyDescent="0.2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 x14ac:dyDescent="0.2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 x14ac:dyDescent="0.2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 x14ac:dyDescent="0.2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 x14ac:dyDescent="0.2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 x14ac:dyDescent="0.2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 x14ac:dyDescent="0.2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 x14ac:dyDescent="0.2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 x14ac:dyDescent="0.2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 x14ac:dyDescent="0.2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 x14ac:dyDescent="0.2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 x14ac:dyDescent="0.2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 x14ac:dyDescent="0.2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 x14ac:dyDescent="0.2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 x14ac:dyDescent="0.2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 x14ac:dyDescent="0.2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 x14ac:dyDescent="0.2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 x14ac:dyDescent="0.2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 x14ac:dyDescent="0.2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 x14ac:dyDescent="0.2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 x14ac:dyDescent="0.2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 x14ac:dyDescent="0.2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 x14ac:dyDescent="0.2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 x14ac:dyDescent="0.2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 x14ac:dyDescent="0.2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 x14ac:dyDescent="0.2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 x14ac:dyDescent="0.2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 x14ac:dyDescent="0.2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 x14ac:dyDescent="0.2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 x14ac:dyDescent="0.2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 x14ac:dyDescent="0.2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 x14ac:dyDescent="0.2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 x14ac:dyDescent="0.2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 x14ac:dyDescent="0.2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 x14ac:dyDescent="0.2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 x14ac:dyDescent="0.2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 x14ac:dyDescent="0.2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 x14ac:dyDescent="0.2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 x14ac:dyDescent="0.2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 x14ac:dyDescent="0.2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 x14ac:dyDescent="0.2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 x14ac:dyDescent="0.2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 x14ac:dyDescent="0.2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 x14ac:dyDescent="0.2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 x14ac:dyDescent="0.2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 x14ac:dyDescent="0.2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 x14ac:dyDescent="0.2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 x14ac:dyDescent="0.2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 x14ac:dyDescent="0.2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 x14ac:dyDescent="0.2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 x14ac:dyDescent="0.2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 x14ac:dyDescent="0.2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 x14ac:dyDescent="0.2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 x14ac:dyDescent="0.2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 x14ac:dyDescent="0.2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 x14ac:dyDescent="0.2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 x14ac:dyDescent="0.2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 x14ac:dyDescent="0.2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 x14ac:dyDescent="0.2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 x14ac:dyDescent="0.2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 x14ac:dyDescent="0.2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 x14ac:dyDescent="0.2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 x14ac:dyDescent="0.2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 x14ac:dyDescent="0.2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 x14ac:dyDescent="0.2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 x14ac:dyDescent="0.2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 x14ac:dyDescent="0.2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 x14ac:dyDescent="0.2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 x14ac:dyDescent="0.2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 x14ac:dyDescent="0.2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 x14ac:dyDescent="0.2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 x14ac:dyDescent="0.2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 x14ac:dyDescent="0.2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 x14ac:dyDescent="0.2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 x14ac:dyDescent="0.2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 x14ac:dyDescent="0.2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 x14ac:dyDescent="0.2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 x14ac:dyDescent="0.2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 x14ac:dyDescent="0.2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 x14ac:dyDescent="0.2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 x14ac:dyDescent="0.2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 x14ac:dyDescent="0.2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 x14ac:dyDescent="0.2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 x14ac:dyDescent="0.2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 x14ac:dyDescent="0.2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 x14ac:dyDescent="0.2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 x14ac:dyDescent="0.2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 x14ac:dyDescent="0.2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 x14ac:dyDescent="0.2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 x14ac:dyDescent="0.2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 x14ac:dyDescent="0.2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 x14ac:dyDescent="0.2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 x14ac:dyDescent="0.2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 x14ac:dyDescent="0.2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 x14ac:dyDescent="0.2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 x14ac:dyDescent="0.2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 x14ac:dyDescent="0.2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 x14ac:dyDescent="0.2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 x14ac:dyDescent="0.2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 x14ac:dyDescent="0.2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 x14ac:dyDescent="0.2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 x14ac:dyDescent="0.2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 x14ac:dyDescent="0.2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 x14ac:dyDescent="0.2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 x14ac:dyDescent="0.2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 x14ac:dyDescent="0.2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 x14ac:dyDescent="0.2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 x14ac:dyDescent="0.2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 x14ac:dyDescent="0.2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 x14ac:dyDescent="0.2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 x14ac:dyDescent="0.2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 x14ac:dyDescent="0.2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 x14ac:dyDescent="0.2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 x14ac:dyDescent="0.2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 x14ac:dyDescent="0.2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 x14ac:dyDescent="0.2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 x14ac:dyDescent="0.2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 x14ac:dyDescent="0.2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 x14ac:dyDescent="0.2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 x14ac:dyDescent="0.2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 x14ac:dyDescent="0.2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 x14ac:dyDescent="0.2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 x14ac:dyDescent="0.2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 x14ac:dyDescent="0.2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 x14ac:dyDescent="0.2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 x14ac:dyDescent="0.2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 x14ac:dyDescent="0.2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 x14ac:dyDescent="0.2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 x14ac:dyDescent="0.2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 x14ac:dyDescent="0.2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 x14ac:dyDescent="0.2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 x14ac:dyDescent="0.2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 x14ac:dyDescent="0.2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 x14ac:dyDescent="0.2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 x14ac:dyDescent="0.2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 x14ac:dyDescent="0.2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 x14ac:dyDescent="0.2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 x14ac:dyDescent="0.2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 x14ac:dyDescent="0.2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 x14ac:dyDescent="0.2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 x14ac:dyDescent="0.2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 x14ac:dyDescent="0.2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 x14ac:dyDescent="0.2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 x14ac:dyDescent="0.2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 x14ac:dyDescent="0.2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 x14ac:dyDescent="0.2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 x14ac:dyDescent="0.2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 x14ac:dyDescent="0.2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 x14ac:dyDescent="0.2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 x14ac:dyDescent="0.2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 x14ac:dyDescent="0.2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 x14ac:dyDescent="0.2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 x14ac:dyDescent="0.2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 x14ac:dyDescent="0.2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 x14ac:dyDescent="0.2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 x14ac:dyDescent="0.2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 x14ac:dyDescent="0.2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 x14ac:dyDescent="0.2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 x14ac:dyDescent="0.2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 x14ac:dyDescent="0.2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 x14ac:dyDescent="0.2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 x14ac:dyDescent="0.2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 x14ac:dyDescent="0.2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 x14ac:dyDescent="0.2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 x14ac:dyDescent="0.2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 x14ac:dyDescent="0.2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 x14ac:dyDescent="0.2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 x14ac:dyDescent="0.2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 x14ac:dyDescent="0.2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 x14ac:dyDescent="0.2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 x14ac:dyDescent="0.2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 x14ac:dyDescent="0.2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 x14ac:dyDescent="0.2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 x14ac:dyDescent="0.2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 x14ac:dyDescent="0.2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 x14ac:dyDescent="0.2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 x14ac:dyDescent="0.2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 x14ac:dyDescent="0.2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 x14ac:dyDescent="0.2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 x14ac:dyDescent="0.2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 x14ac:dyDescent="0.2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 x14ac:dyDescent="0.2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 x14ac:dyDescent="0.2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 x14ac:dyDescent="0.2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 x14ac:dyDescent="0.2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 x14ac:dyDescent="0.2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 x14ac:dyDescent="0.2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 x14ac:dyDescent="0.2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 x14ac:dyDescent="0.2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 x14ac:dyDescent="0.2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 x14ac:dyDescent="0.2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 x14ac:dyDescent="0.2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 x14ac:dyDescent="0.2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 x14ac:dyDescent="0.2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 x14ac:dyDescent="0.2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 x14ac:dyDescent="0.2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 x14ac:dyDescent="0.2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 x14ac:dyDescent="0.2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 x14ac:dyDescent="0.2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 x14ac:dyDescent="0.2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 x14ac:dyDescent="0.2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 x14ac:dyDescent="0.2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 x14ac:dyDescent="0.2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 x14ac:dyDescent="0.2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 x14ac:dyDescent="0.2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 x14ac:dyDescent="0.2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 x14ac:dyDescent="0.2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 x14ac:dyDescent="0.2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 x14ac:dyDescent="0.2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 x14ac:dyDescent="0.2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 x14ac:dyDescent="0.2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 x14ac:dyDescent="0.2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 x14ac:dyDescent="0.2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 x14ac:dyDescent="0.2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 x14ac:dyDescent="0.2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 x14ac:dyDescent="0.2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 x14ac:dyDescent="0.2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 x14ac:dyDescent="0.2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 x14ac:dyDescent="0.2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 x14ac:dyDescent="0.2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 x14ac:dyDescent="0.2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 x14ac:dyDescent="0.2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 x14ac:dyDescent="0.2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 x14ac:dyDescent="0.2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 x14ac:dyDescent="0.2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 x14ac:dyDescent="0.2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 x14ac:dyDescent="0.2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 x14ac:dyDescent="0.2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 x14ac:dyDescent="0.2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 x14ac:dyDescent="0.2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 x14ac:dyDescent="0.2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 x14ac:dyDescent="0.2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 x14ac:dyDescent="0.2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 x14ac:dyDescent="0.2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 x14ac:dyDescent="0.2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 x14ac:dyDescent="0.2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 x14ac:dyDescent="0.2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 x14ac:dyDescent="0.2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 x14ac:dyDescent="0.2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 x14ac:dyDescent="0.2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 x14ac:dyDescent="0.2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 x14ac:dyDescent="0.2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 x14ac:dyDescent="0.2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 x14ac:dyDescent="0.2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 x14ac:dyDescent="0.2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 x14ac:dyDescent="0.2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 x14ac:dyDescent="0.2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 x14ac:dyDescent="0.2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 x14ac:dyDescent="0.2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 x14ac:dyDescent="0.2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 x14ac:dyDescent="0.2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 x14ac:dyDescent="0.2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 x14ac:dyDescent="0.2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 x14ac:dyDescent="0.2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 x14ac:dyDescent="0.2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 x14ac:dyDescent="0.2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 x14ac:dyDescent="0.2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 x14ac:dyDescent="0.2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 x14ac:dyDescent="0.2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 x14ac:dyDescent="0.2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 x14ac:dyDescent="0.2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 x14ac:dyDescent="0.2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 x14ac:dyDescent="0.2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 x14ac:dyDescent="0.2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 x14ac:dyDescent="0.2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 x14ac:dyDescent="0.2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 x14ac:dyDescent="0.2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 x14ac:dyDescent="0.2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 x14ac:dyDescent="0.2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 x14ac:dyDescent="0.2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 x14ac:dyDescent="0.2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 x14ac:dyDescent="0.2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 x14ac:dyDescent="0.2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 x14ac:dyDescent="0.2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 x14ac:dyDescent="0.2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 x14ac:dyDescent="0.2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 x14ac:dyDescent="0.2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 x14ac:dyDescent="0.2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 x14ac:dyDescent="0.2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 x14ac:dyDescent="0.2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 x14ac:dyDescent="0.2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 x14ac:dyDescent="0.2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 x14ac:dyDescent="0.2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 x14ac:dyDescent="0.2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 x14ac:dyDescent="0.2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 x14ac:dyDescent="0.2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 x14ac:dyDescent="0.2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 x14ac:dyDescent="0.2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 x14ac:dyDescent="0.2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 x14ac:dyDescent="0.2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 x14ac:dyDescent="0.2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 x14ac:dyDescent="0.2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 x14ac:dyDescent="0.2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 x14ac:dyDescent="0.2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 x14ac:dyDescent="0.2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 x14ac:dyDescent="0.2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 x14ac:dyDescent="0.2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 x14ac:dyDescent="0.2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 x14ac:dyDescent="0.2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 x14ac:dyDescent="0.2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 x14ac:dyDescent="0.2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 x14ac:dyDescent="0.2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 x14ac:dyDescent="0.2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 x14ac:dyDescent="0.2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 x14ac:dyDescent="0.2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 x14ac:dyDescent="0.2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 x14ac:dyDescent="0.2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 x14ac:dyDescent="0.2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 x14ac:dyDescent="0.2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 x14ac:dyDescent="0.2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 x14ac:dyDescent="0.2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 x14ac:dyDescent="0.2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 x14ac:dyDescent="0.2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 x14ac:dyDescent="0.2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 x14ac:dyDescent="0.2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 x14ac:dyDescent="0.2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 x14ac:dyDescent="0.2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 x14ac:dyDescent="0.2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 x14ac:dyDescent="0.2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 x14ac:dyDescent="0.2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 x14ac:dyDescent="0.2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 x14ac:dyDescent="0.2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 x14ac:dyDescent="0.2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 x14ac:dyDescent="0.2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 x14ac:dyDescent="0.2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 x14ac:dyDescent="0.2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 x14ac:dyDescent="0.2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 x14ac:dyDescent="0.2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 x14ac:dyDescent="0.2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 x14ac:dyDescent="0.2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 x14ac:dyDescent="0.2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 x14ac:dyDescent="0.2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 x14ac:dyDescent="0.2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 x14ac:dyDescent="0.2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 x14ac:dyDescent="0.2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 x14ac:dyDescent="0.2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 x14ac:dyDescent="0.2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 x14ac:dyDescent="0.2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 x14ac:dyDescent="0.2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 x14ac:dyDescent="0.2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 x14ac:dyDescent="0.2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 x14ac:dyDescent="0.2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 x14ac:dyDescent="0.2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 x14ac:dyDescent="0.2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 x14ac:dyDescent="0.2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 x14ac:dyDescent="0.2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 x14ac:dyDescent="0.2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 x14ac:dyDescent="0.2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 x14ac:dyDescent="0.2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 x14ac:dyDescent="0.2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 x14ac:dyDescent="0.2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 x14ac:dyDescent="0.2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 x14ac:dyDescent="0.2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 x14ac:dyDescent="0.2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 x14ac:dyDescent="0.2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 x14ac:dyDescent="0.2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 x14ac:dyDescent="0.2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 x14ac:dyDescent="0.2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 x14ac:dyDescent="0.2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 x14ac:dyDescent="0.2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 x14ac:dyDescent="0.2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 x14ac:dyDescent="0.2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 x14ac:dyDescent="0.2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 x14ac:dyDescent="0.2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 x14ac:dyDescent="0.2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 x14ac:dyDescent="0.2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 x14ac:dyDescent="0.2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 x14ac:dyDescent="0.2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 x14ac:dyDescent="0.2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 x14ac:dyDescent="0.2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 x14ac:dyDescent="0.2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 x14ac:dyDescent="0.2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 x14ac:dyDescent="0.2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 x14ac:dyDescent="0.2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 x14ac:dyDescent="0.2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 x14ac:dyDescent="0.2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 x14ac:dyDescent="0.2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 x14ac:dyDescent="0.2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 x14ac:dyDescent="0.2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 x14ac:dyDescent="0.2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 x14ac:dyDescent="0.2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 x14ac:dyDescent="0.2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 x14ac:dyDescent="0.2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 x14ac:dyDescent="0.2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 x14ac:dyDescent="0.2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 x14ac:dyDescent="0.2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 x14ac:dyDescent="0.2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 x14ac:dyDescent="0.2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 x14ac:dyDescent="0.2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 x14ac:dyDescent="0.2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 x14ac:dyDescent="0.2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 x14ac:dyDescent="0.2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 x14ac:dyDescent="0.2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 x14ac:dyDescent="0.2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 x14ac:dyDescent="0.2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 x14ac:dyDescent="0.2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 x14ac:dyDescent="0.2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 x14ac:dyDescent="0.2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 x14ac:dyDescent="0.2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 x14ac:dyDescent="0.2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 x14ac:dyDescent="0.2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 x14ac:dyDescent="0.2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 x14ac:dyDescent="0.2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 x14ac:dyDescent="0.2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 x14ac:dyDescent="0.2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 x14ac:dyDescent="0.2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 x14ac:dyDescent="0.2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 x14ac:dyDescent="0.2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 x14ac:dyDescent="0.2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 x14ac:dyDescent="0.2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 x14ac:dyDescent="0.2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 x14ac:dyDescent="0.2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 x14ac:dyDescent="0.2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 x14ac:dyDescent="0.2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 x14ac:dyDescent="0.2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 x14ac:dyDescent="0.2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 x14ac:dyDescent="0.2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 x14ac:dyDescent="0.2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 x14ac:dyDescent="0.2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 x14ac:dyDescent="0.2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 x14ac:dyDescent="0.2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 x14ac:dyDescent="0.2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 x14ac:dyDescent="0.2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 x14ac:dyDescent="0.2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 x14ac:dyDescent="0.2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 x14ac:dyDescent="0.2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 x14ac:dyDescent="0.2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 x14ac:dyDescent="0.2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 x14ac:dyDescent="0.2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 x14ac:dyDescent="0.2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 x14ac:dyDescent="0.2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 x14ac:dyDescent="0.2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 x14ac:dyDescent="0.2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 x14ac:dyDescent="0.2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 x14ac:dyDescent="0.2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 x14ac:dyDescent="0.2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 x14ac:dyDescent="0.2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 x14ac:dyDescent="0.2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 x14ac:dyDescent="0.2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 x14ac:dyDescent="0.2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 x14ac:dyDescent="0.2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 x14ac:dyDescent="0.2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 x14ac:dyDescent="0.2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 x14ac:dyDescent="0.2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 x14ac:dyDescent="0.2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 x14ac:dyDescent="0.2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 x14ac:dyDescent="0.2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 x14ac:dyDescent="0.2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 x14ac:dyDescent="0.2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 x14ac:dyDescent="0.2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 x14ac:dyDescent="0.2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 x14ac:dyDescent="0.2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 x14ac:dyDescent="0.2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 x14ac:dyDescent="0.2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 x14ac:dyDescent="0.2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 x14ac:dyDescent="0.2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 x14ac:dyDescent="0.2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 x14ac:dyDescent="0.2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 x14ac:dyDescent="0.2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 x14ac:dyDescent="0.2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 x14ac:dyDescent="0.2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 x14ac:dyDescent="0.2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 x14ac:dyDescent="0.2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 x14ac:dyDescent="0.2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 x14ac:dyDescent="0.2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 x14ac:dyDescent="0.2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 x14ac:dyDescent="0.2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 x14ac:dyDescent="0.2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 x14ac:dyDescent="0.2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 x14ac:dyDescent="0.2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 x14ac:dyDescent="0.2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 x14ac:dyDescent="0.2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 x14ac:dyDescent="0.2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 x14ac:dyDescent="0.2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 x14ac:dyDescent="0.2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 x14ac:dyDescent="0.2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 x14ac:dyDescent="0.2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 x14ac:dyDescent="0.2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 x14ac:dyDescent="0.2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 x14ac:dyDescent="0.2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 x14ac:dyDescent="0.2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 x14ac:dyDescent="0.2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 x14ac:dyDescent="0.2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 x14ac:dyDescent="0.2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 x14ac:dyDescent="0.2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 x14ac:dyDescent="0.2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 x14ac:dyDescent="0.2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 x14ac:dyDescent="0.2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 x14ac:dyDescent="0.2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 x14ac:dyDescent="0.2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 x14ac:dyDescent="0.2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 x14ac:dyDescent="0.2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 x14ac:dyDescent="0.2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 x14ac:dyDescent="0.2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 x14ac:dyDescent="0.2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 x14ac:dyDescent="0.2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 x14ac:dyDescent="0.2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 x14ac:dyDescent="0.2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 x14ac:dyDescent="0.2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 x14ac:dyDescent="0.2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 x14ac:dyDescent="0.2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 x14ac:dyDescent="0.2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 x14ac:dyDescent="0.2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 x14ac:dyDescent="0.2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 x14ac:dyDescent="0.2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 x14ac:dyDescent="0.2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 x14ac:dyDescent="0.2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 x14ac:dyDescent="0.2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 x14ac:dyDescent="0.2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 x14ac:dyDescent="0.2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 x14ac:dyDescent="0.2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 x14ac:dyDescent="0.2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 x14ac:dyDescent="0.2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 x14ac:dyDescent="0.2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 x14ac:dyDescent="0.2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 x14ac:dyDescent="0.2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 x14ac:dyDescent="0.2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 x14ac:dyDescent="0.2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 x14ac:dyDescent="0.2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 x14ac:dyDescent="0.2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 x14ac:dyDescent="0.2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 x14ac:dyDescent="0.2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 x14ac:dyDescent="0.2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 x14ac:dyDescent="0.2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 x14ac:dyDescent="0.2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 x14ac:dyDescent="0.2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 x14ac:dyDescent="0.2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 x14ac:dyDescent="0.2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 x14ac:dyDescent="0.2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 x14ac:dyDescent="0.2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 x14ac:dyDescent="0.2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 x14ac:dyDescent="0.2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 x14ac:dyDescent="0.2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 x14ac:dyDescent="0.2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 x14ac:dyDescent="0.2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 x14ac:dyDescent="0.2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 x14ac:dyDescent="0.2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 x14ac:dyDescent="0.2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 x14ac:dyDescent="0.2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 x14ac:dyDescent="0.2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 x14ac:dyDescent="0.2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 x14ac:dyDescent="0.2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 x14ac:dyDescent="0.2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 x14ac:dyDescent="0.2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 x14ac:dyDescent="0.2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 x14ac:dyDescent="0.2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 x14ac:dyDescent="0.2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 x14ac:dyDescent="0.2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 x14ac:dyDescent="0.2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 x14ac:dyDescent="0.2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 x14ac:dyDescent="0.2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 x14ac:dyDescent="0.2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 x14ac:dyDescent="0.2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 x14ac:dyDescent="0.2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 x14ac:dyDescent="0.2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 x14ac:dyDescent="0.2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 x14ac:dyDescent="0.2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 x14ac:dyDescent="0.2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 x14ac:dyDescent="0.2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 x14ac:dyDescent="0.2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 x14ac:dyDescent="0.2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 x14ac:dyDescent="0.2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 x14ac:dyDescent="0.2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 x14ac:dyDescent="0.2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 x14ac:dyDescent="0.2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 x14ac:dyDescent="0.2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 x14ac:dyDescent="0.2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 x14ac:dyDescent="0.2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 x14ac:dyDescent="0.2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 x14ac:dyDescent="0.2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 x14ac:dyDescent="0.2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 x14ac:dyDescent="0.2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 x14ac:dyDescent="0.2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 x14ac:dyDescent="0.2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 x14ac:dyDescent="0.2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 x14ac:dyDescent="0.2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 x14ac:dyDescent="0.2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 x14ac:dyDescent="0.2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 x14ac:dyDescent="0.2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 x14ac:dyDescent="0.2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 x14ac:dyDescent="0.2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 x14ac:dyDescent="0.2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 x14ac:dyDescent="0.2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 x14ac:dyDescent="0.2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 x14ac:dyDescent="0.2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 x14ac:dyDescent="0.2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 x14ac:dyDescent="0.2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 x14ac:dyDescent="0.2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 x14ac:dyDescent="0.2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 x14ac:dyDescent="0.2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 x14ac:dyDescent="0.2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 x14ac:dyDescent="0.2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 x14ac:dyDescent="0.2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 x14ac:dyDescent="0.2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 x14ac:dyDescent="0.2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 x14ac:dyDescent="0.2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 x14ac:dyDescent="0.2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 x14ac:dyDescent="0.2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 x14ac:dyDescent="0.2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 x14ac:dyDescent="0.2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 x14ac:dyDescent="0.2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 x14ac:dyDescent="0.2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 x14ac:dyDescent="0.2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 x14ac:dyDescent="0.2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 x14ac:dyDescent="0.2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 x14ac:dyDescent="0.2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 x14ac:dyDescent="0.2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 x14ac:dyDescent="0.2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 x14ac:dyDescent="0.2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 x14ac:dyDescent="0.2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 x14ac:dyDescent="0.2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 x14ac:dyDescent="0.2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 x14ac:dyDescent="0.2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 x14ac:dyDescent="0.2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 x14ac:dyDescent="0.2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 x14ac:dyDescent="0.2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 x14ac:dyDescent="0.2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 x14ac:dyDescent="0.2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 x14ac:dyDescent="0.2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 x14ac:dyDescent="0.2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 x14ac:dyDescent="0.2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 x14ac:dyDescent="0.2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 x14ac:dyDescent="0.2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 x14ac:dyDescent="0.2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 x14ac:dyDescent="0.2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 x14ac:dyDescent="0.2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 x14ac:dyDescent="0.2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 x14ac:dyDescent="0.2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 x14ac:dyDescent="0.2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 x14ac:dyDescent="0.2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 x14ac:dyDescent="0.2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 x14ac:dyDescent="0.2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 x14ac:dyDescent="0.2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 x14ac:dyDescent="0.2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 x14ac:dyDescent="0.2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 x14ac:dyDescent="0.2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 x14ac:dyDescent="0.2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 x14ac:dyDescent="0.2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 x14ac:dyDescent="0.2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 x14ac:dyDescent="0.2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 x14ac:dyDescent="0.2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 x14ac:dyDescent="0.2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 x14ac:dyDescent="0.2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 x14ac:dyDescent="0.2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 x14ac:dyDescent="0.2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 x14ac:dyDescent="0.2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 x14ac:dyDescent="0.2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 x14ac:dyDescent="0.2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 x14ac:dyDescent="0.2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 x14ac:dyDescent="0.2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 x14ac:dyDescent="0.2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 x14ac:dyDescent="0.2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 x14ac:dyDescent="0.2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 x14ac:dyDescent="0.2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 x14ac:dyDescent="0.2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 x14ac:dyDescent="0.2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 x14ac:dyDescent="0.2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 x14ac:dyDescent="0.2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 x14ac:dyDescent="0.2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 x14ac:dyDescent="0.2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 x14ac:dyDescent="0.2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 x14ac:dyDescent="0.2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 x14ac:dyDescent="0.2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 x14ac:dyDescent="0.2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 x14ac:dyDescent="0.2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 x14ac:dyDescent="0.2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 x14ac:dyDescent="0.2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 x14ac:dyDescent="0.2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 x14ac:dyDescent="0.2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 x14ac:dyDescent="0.2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 x14ac:dyDescent="0.2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 x14ac:dyDescent="0.2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 x14ac:dyDescent="0.2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 x14ac:dyDescent="0.2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 x14ac:dyDescent="0.2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 x14ac:dyDescent="0.2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 x14ac:dyDescent="0.2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 x14ac:dyDescent="0.2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 x14ac:dyDescent="0.2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 x14ac:dyDescent="0.2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 x14ac:dyDescent="0.2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 x14ac:dyDescent="0.2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 x14ac:dyDescent="0.2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 x14ac:dyDescent="0.2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 x14ac:dyDescent="0.2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 x14ac:dyDescent="0.2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 x14ac:dyDescent="0.2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 x14ac:dyDescent="0.2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 x14ac:dyDescent="0.2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 x14ac:dyDescent="0.2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 x14ac:dyDescent="0.2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 x14ac:dyDescent="0.2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 x14ac:dyDescent="0.2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 x14ac:dyDescent="0.2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 x14ac:dyDescent="0.2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 x14ac:dyDescent="0.2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 x14ac:dyDescent="0.2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 x14ac:dyDescent="0.2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 x14ac:dyDescent="0.2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 x14ac:dyDescent="0.2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 x14ac:dyDescent="0.2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 x14ac:dyDescent="0.2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 x14ac:dyDescent="0.2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 x14ac:dyDescent="0.2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 x14ac:dyDescent="0.2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 x14ac:dyDescent="0.2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 x14ac:dyDescent="0.2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 x14ac:dyDescent="0.2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 x14ac:dyDescent="0.2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 x14ac:dyDescent="0.2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 x14ac:dyDescent="0.2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 x14ac:dyDescent="0.2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 x14ac:dyDescent="0.2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 x14ac:dyDescent="0.2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 x14ac:dyDescent="0.2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 x14ac:dyDescent="0.2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 x14ac:dyDescent="0.2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 x14ac:dyDescent="0.2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 x14ac:dyDescent="0.2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 x14ac:dyDescent="0.2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 x14ac:dyDescent="0.2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 x14ac:dyDescent="0.2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 x14ac:dyDescent="0.2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 x14ac:dyDescent="0.2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 x14ac:dyDescent="0.2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 x14ac:dyDescent="0.2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 x14ac:dyDescent="0.2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 x14ac:dyDescent="0.2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 x14ac:dyDescent="0.2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 x14ac:dyDescent="0.2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 x14ac:dyDescent="0.2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 x14ac:dyDescent="0.2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 x14ac:dyDescent="0.2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 x14ac:dyDescent="0.2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 x14ac:dyDescent="0.2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 x14ac:dyDescent="0.2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 x14ac:dyDescent="0.2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 x14ac:dyDescent="0.2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 x14ac:dyDescent="0.2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 x14ac:dyDescent="0.2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 x14ac:dyDescent="0.2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 x14ac:dyDescent="0.2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 x14ac:dyDescent="0.2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 x14ac:dyDescent="0.2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 x14ac:dyDescent="0.2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 x14ac:dyDescent="0.2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 x14ac:dyDescent="0.2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 x14ac:dyDescent="0.2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 x14ac:dyDescent="0.2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 x14ac:dyDescent="0.2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 x14ac:dyDescent="0.2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 x14ac:dyDescent="0.2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 x14ac:dyDescent="0.2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 x14ac:dyDescent="0.2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 x14ac:dyDescent="0.2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 x14ac:dyDescent="0.2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 x14ac:dyDescent="0.2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 x14ac:dyDescent="0.2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 x14ac:dyDescent="0.2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 x14ac:dyDescent="0.2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 x14ac:dyDescent="0.2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 x14ac:dyDescent="0.2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 x14ac:dyDescent="0.2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 x14ac:dyDescent="0.2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 x14ac:dyDescent="0.2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 x14ac:dyDescent="0.2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 x14ac:dyDescent="0.2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 x14ac:dyDescent="0.2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 x14ac:dyDescent="0.2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 x14ac:dyDescent="0.2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 x14ac:dyDescent="0.2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 x14ac:dyDescent="0.2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 x14ac:dyDescent="0.2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 x14ac:dyDescent="0.2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 x14ac:dyDescent="0.2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 x14ac:dyDescent="0.2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 x14ac:dyDescent="0.2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 x14ac:dyDescent="0.2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 x14ac:dyDescent="0.2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 x14ac:dyDescent="0.2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 x14ac:dyDescent="0.2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 x14ac:dyDescent="0.2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 x14ac:dyDescent="0.2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 x14ac:dyDescent="0.2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 x14ac:dyDescent="0.2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 x14ac:dyDescent="0.2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 x14ac:dyDescent="0.2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 x14ac:dyDescent="0.2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 x14ac:dyDescent="0.2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 x14ac:dyDescent="0.2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 x14ac:dyDescent="0.2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 x14ac:dyDescent="0.2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 x14ac:dyDescent="0.2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 x14ac:dyDescent="0.2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 x14ac:dyDescent="0.2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 x14ac:dyDescent="0.2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 x14ac:dyDescent="0.2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 x14ac:dyDescent="0.2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 x14ac:dyDescent="0.2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 x14ac:dyDescent="0.2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 x14ac:dyDescent="0.2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 x14ac:dyDescent="0.2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 x14ac:dyDescent="0.2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 x14ac:dyDescent="0.2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 x14ac:dyDescent="0.2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 x14ac:dyDescent="0.2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 x14ac:dyDescent="0.2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 x14ac:dyDescent="0.2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 x14ac:dyDescent="0.2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 x14ac:dyDescent="0.2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 x14ac:dyDescent="0.2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 x14ac:dyDescent="0.2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 x14ac:dyDescent="0.2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 x14ac:dyDescent="0.2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 x14ac:dyDescent="0.2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 x14ac:dyDescent="0.2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 x14ac:dyDescent="0.2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 x14ac:dyDescent="0.2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 x14ac:dyDescent="0.2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 x14ac:dyDescent="0.2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 x14ac:dyDescent="0.2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 x14ac:dyDescent="0.2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 x14ac:dyDescent="0.2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 x14ac:dyDescent="0.2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 x14ac:dyDescent="0.2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 x14ac:dyDescent="0.2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 x14ac:dyDescent="0.2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 x14ac:dyDescent="0.2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 x14ac:dyDescent="0.2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 x14ac:dyDescent="0.2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 x14ac:dyDescent="0.2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 x14ac:dyDescent="0.2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 x14ac:dyDescent="0.2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 x14ac:dyDescent="0.2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 x14ac:dyDescent="0.2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 x14ac:dyDescent="0.2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 x14ac:dyDescent="0.2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 x14ac:dyDescent="0.2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 x14ac:dyDescent="0.2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 x14ac:dyDescent="0.2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 x14ac:dyDescent="0.2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 x14ac:dyDescent="0.2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 x14ac:dyDescent="0.2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 x14ac:dyDescent="0.2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 x14ac:dyDescent="0.2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 x14ac:dyDescent="0.2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 x14ac:dyDescent="0.2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 x14ac:dyDescent="0.2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 x14ac:dyDescent="0.2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 x14ac:dyDescent="0.2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 x14ac:dyDescent="0.2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 x14ac:dyDescent="0.2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 x14ac:dyDescent="0.2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 x14ac:dyDescent="0.2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 x14ac:dyDescent="0.2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 x14ac:dyDescent="0.2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 x14ac:dyDescent="0.2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 x14ac:dyDescent="0.2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 x14ac:dyDescent="0.2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 x14ac:dyDescent="0.2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 x14ac:dyDescent="0.2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 x14ac:dyDescent="0.2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 x14ac:dyDescent="0.2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 x14ac:dyDescent="0.2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 x14ac:dyDescent="0.2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 x14ac:dyDescent="0.2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 x14ac:dyDescent="0.2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 x14ac:dyDescent="0.2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 x14ac:dyDescent="0.2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 x14ac:dyDescent="0.2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 x14ac:dyDescent="0.2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 x14ac:dyDescent="0.2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 x14ac:dyDescent="0.2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 x14ac:dyDescent="0.2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 x14ac:dyDescent="0.2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 x14ac:dyDescent="0.2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 x14ac:dyDescent="0.2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 x14ac:dyDescent="0.2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 x14ac:dyDescent="0.2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 x14ac:dyDescent="0.2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 x14ac:dyDescent="0.2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 x14ac:dyDescent="0.2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 x14ac:dyDescent="0.2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 x14ac:dyDescent="0.2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 x14ac:dyDescent="0.2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 x14ac:dyDescent="0.2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 x14ac:dyDescent="0.2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 x14ac:dyDescent="0.2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 x14ac:dyDescent="0.2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 x14ac:dyDescent="0.2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 x14ac:dyDescent="0.2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 x14ac:dyDescent="0.2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 x14ac:dyDescent="0.2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 x14ac:dyDescent="0.2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 x14ac:dyDescent="0.2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 x14ac:dyDescent="0.2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 x14ac:dyDescent="0.2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 x14ac:dyDescent="0.2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 x14ac:dyDescent="0.2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 x14ac:dyDescent="0.2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 x14ac:dyDescent="0.2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 x14ac:dyDescent="0.2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 x14ac:dyDescent="0.2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 x14ac:dyDescent="0.2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 x14ac:dyDescent="0.2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 x14ac:dyDescent="0.2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 x14ac:dyDescent="0.2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 x14ac:dyDescent="0.2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 x14ac:dyDescent="0.2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 x14ac:dyDescent="0.2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 x14ac:dyDescent="0.2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 x14ac:dyDescent="0.2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 x14ac:dyDescent="0.2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 x14ac:dyDescent="0.2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 x14ac:dyDescent="0.2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 x14ac:dyDescent="0.2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 x14ac:dyDescent="0.2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 x14ac:dyDescent="0.2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 x14ac:dyDescent="0.2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 x14ac:dyDescent="0.2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 x14ac:dyDescent="0.2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 x14ac:dyDescent="0.2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 x14ac:dyDescent="0.2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 x14ac:dyDescent="0.2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 x14ac:dyDescent="0.2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 x14ac:dyDescent="0.2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 x14ac:dyDescent="0.2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 x14ac:dyDescent="0.2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 x14ac:dyDescent="0.2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 x14ac:dyDescent="0.2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 x14ac:dyDescent="0.2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 x14ac:dyDescent="0.2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 x14ac:dyDescent="0.2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 x14ac:dyDescent="0.2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 x14ac:dyDescent="0.2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 x14ac:dyDescent="0.2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 x14ac:dyDescent="0.2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 x14ac:dyDescent="0.2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 x14ac:dyDescent="0.2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 x14ac:dyDescent="0.2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 x14ac:dyDescent="0.2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 x14ac:dyDescent="0.2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 x14ac:dyDescent="0.2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 x14ac:dyDescent="0.2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 x14ac:dyDescent="0.2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 x14ac:dyDescent="0.2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 x14ac:dyDescent="0.2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 x14ac:dyDescent="0.2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 x14ac:dyDescent="0.2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 x14ac:dyDescent="0.2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 x14ac:dyDescent="0.2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 x14ac:dyDescent="0.2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 x14ac:dyDescent="0.2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 x14ac:dyDescent="0.2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 x14ac:dyDescent="0.2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 x14ac:dyDescent="0.2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 x14ac:dyDescent="0.2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 x14ac:dyDescent="0.2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 x14ac:dyDescent="0.2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 x14ac:dyDescent="0.2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 x14ac:dyDescent="0.2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 x14ac:dyDescent="0.2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 x14ac:dyDescent="0.2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 x14ac:dyDescent="0.2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 x14ac:dyDescent="0.2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 x14ac:dyDescent="0.2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 x14ac:dyDescent="0.2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 x14ac:dyDescent="0.2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 x14ac:dyDescent="0.2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 x14ac:dyDescent="0.2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 x14ac:dyDescent="0.2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 x14ac:dyDescent="0.2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 x14ac:dyDescent="0.2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 x14ac:dyDescent="0.2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 x14ac:dyDescent="0.2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 x14ac:dyDescent="0.2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 x14ac:dyDescent="0.2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 x14ac:dyDescent="0.2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 x14ac:dyDescent="0.2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 x14ac:dyDescent="0.2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 x14ac:dyDescent="0.2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 x14ac:dyDescent="0.2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 x14ac:dyDescent="0.2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 x14ac:dyDescent="0.2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 x14ac:dyDescent="0.2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 x14ac:dyDescent="0.2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 x14ac:dyDescent="0.2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 x14ac:dyDescent="0.2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 x14ac:dyDescent="0.2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 x14ac:dyDescent="0.2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 x14ac:dyDescent="0.2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 x14ac:dyDescent="0.2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 x14ac:dyDescent="0.2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 x14ac:dyDescent="0.2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 x14ac:dyDescent="0.2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 x14ac:dyDescent="0.2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 x14ac:dyDescent="0.2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 x14ac:dyDescent="0.2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 x14ac:dyDescent="0.2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 x14ac:dyDescent="0.2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 x14ac:dyDescent="0.2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 x14ac:dyDescent="0.2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 x14ac:dyDescent="0.2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 x14ac:dyDescent="0.2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 x14ac:dyDescent="0.2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 x14ac:dyDescent="0.2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 x14ac:dyDescent="0.2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 x14ac:dyDescent="0.2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 x14ac:dyDescent="0.2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 x14ac:dyDescent="0.2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 x14ac:dyDescent="0.2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 x14ac:dyDescent="0.2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 x14ac:dyDescent="0.2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 x14ac:dyDescent="0.2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 x14ac:dyDescent="0.2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 x14ac:dyDescent="0.2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 x14ac:dyDescent="0.2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 x14ac:dyDescent="0.2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 x14ac:dyDescent="0.2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 x14ac:dyDescent="0.2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 x14ac:dyDescent="0.2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 x14ac:dyDescent="0.2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 x14ac:dyDescent="0.2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 x14ac:dyDescent="0.2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 x14ac:dyDescent="0.2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 x14ac:dyDescent="0.2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 x14ac:dyDescent="0.2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 x14ac:dyDescent="0.2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 x14ac:dyDescent="0.2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 x14ac:dyDescent="0.2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 x14ac:dyDescent="0.2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 x14ac:dyDescent="0.2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 x14ac:dyDescent="0.2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 x14ac:dyDescent="0.2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 x14ac:dyDescent="0.2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 x14ac:dyDescent="0.2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 x14ac:dyDescent="0.2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 x14ac:dyDescent="0.2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 x14ac:dyDescent="0.2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 x14ac:dyDescent="0.2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 x14ac:dyDescent="0.2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 x14ac:dyDescent="0.2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 x14ac:dyDescent="0.2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 x14ac:dyDescent="0.2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 x14ac:dyDescent="0.2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 x14ac:dyDescent="0.2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 x14ac:dyDescent="0.2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 x14ac:dyDescent="0.2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 x14ac:dyDescent="0.2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 x14ac:dyDescent="0.2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 x14ac:dyDescent="0.2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 x14ac:dyDescent="0.2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 x14ac:dyDescent="0.2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 x14ac:dyDescent="0.2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 x14ac:dyDescent="0.2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 x14ac:dyDescent="0.2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 x14ac:dyDescent="0.2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 x14ac:dyDescent="0.2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 x14ac:dyDescent="0.2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 x14ac:dyDescent="0.2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 x14ac:dyDescent="0.2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 x14ac:dyDescent="0.2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 x14ac:dyDescent="0.2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 x14ac:dyDescent="0.2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 x14ac:dyDescent="0.2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 x14ac:dyDescent="0.2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 x14ac:dyDescent="0.2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 x14ac:dyDescent="0.2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 x14ac:dyDescent="0.2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 x14ac:dyDescent="0.2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 x14ac:dyDescent="0.2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 x14ac:dyDescent="0.2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 x14ac:dyDescent="0.2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 x14ac:dyDescent="0.2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 x14ac:dyDescent="0.2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 x14ac:dyDescent="0.2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 x14ac:dyDescent="0.2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 x14ac:dyDescent="0.2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 x14ac:dyDescent="0.2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 x14ac:dyDescent="0.2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 x14ac:dyDescent="0.2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 x14ac:dyDescent="0.2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 x14ac:dyDescent="0.2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 x14ac:dyDescent="0.2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 x14ac:dyDescent="0.2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 x14ac:dyDescent="0.2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 x14ac:dyDescent="0.2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 x14ac:dyDescent="0.2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 x14ac:dyDescent="0.2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 x14ac:dyDescent="0.2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 x14ac:dyDescent="0.2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 x14ac:dyDescent="0.2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 x14ac:dyDescent="0.2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 x14ac:dyDescent="0.2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 x14ac:dyDescent="0.2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 x14ac:dyDescent="0.2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 x14ac:dyDescent="0.2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 x14ac:dyDescent="0.2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 x14ac:dyDescent="0.2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 x14ac:dyDescent="0.2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 x14ac:dyDescent="0.2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 x14ac:dyDescent="0.2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 x14ac:dyDescent="0.2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 x14ac:dyDescent="0.2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 x14ac:dyDescent="0.2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 x14ac:dyDescent="0.2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 x14ac:dyDescent="0.2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 x14ac:dyDescent="0.2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 x14ac:dyDescent="0.2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 x14ac:dyDescent="0.2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 x14ac:dyDescent="0.2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 x14ac:dyDescent="0.2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 x14ac:dyDescent="0.2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 x14ac:dyDescent="0.2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 x14ac:dyDescent="0.2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 x14ac:dyDescent="0.2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 x14ac:dyDescent="0.2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 x14ac:dyDescent="0.2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 x14ac:dyDescent="0.2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 x14ac:dyDescent="0.2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 x14ac:dyDescent="0.2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 x14ac:dyDescent="0.2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 x14ac:dyDescent="0.2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 x14ac:dyDescent="0.2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 x14ac:dyDescent="0.2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 x14ac:dyDescent="0.2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 x14ac:dyDescent="0.2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 x14ac:dyDescent="0.2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 x14ac:dyDescent="0.2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 x14ac:dyDescent="0.2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 x14ac:dyDescent="0.2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 x14ac:dyDescent="0.2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 x14ac:dyDescent="0.2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 x14ac:dyDescent="0.2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 x14ac:dyDescent="0.2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 x14ac:dyDescent="0.2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 x14ac:dyDescent="0.2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 x14ac:dyDescent="0.2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 x14ac:dyDescent="0.2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 x14ac:dyDescent="0.2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 x14ac:dyDescent="0.2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 x14ac:dyDescent="0.2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 x14ac:dyDescent="0.2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 x14ac:dyDescent="0.2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 x14ac:dyDescent="0.2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 x14ac:dyDescent="0.2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 x14ac:dyDescent="0.2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 x14ac:dyDescent="0.2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 x14ac:dyDescent="0.2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 x14ac:dyDescent="0.2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 x14ac:dyDescent="0.2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 x14ac:dyDescent="0.2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 x14ac:dyDescent="0.2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 x14ac:dyDescent="0.2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 x14ac:dyDescent="0.2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 x14ac:dyDescent="0.2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 x14ac:dyDescent="0.2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 x14ac:dyDescent="0.2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 x14ac:dyDescent="0.2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 x14ac:dyDescent="0.2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 x14ac:dyDescent="0.2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 x14ac:dyDescent="0.2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 x14ac:dyDescent="0.2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 x14ac:dyDescent="0.2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 x14ac:dyDescent="0.2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 x14ac:dyDescent="0.2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 x14ac:dyDescent="0.2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 x14ac:dyDescent="0.2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 x14ac:dyDescent="0.2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 x14ac:dyDescent="0.2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 x14ac:dyDescent="0.2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 x14ac:dyDescent="0.2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 x14ac:dyDescent="0.2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 x14ac:dyDescent="0.2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 x14ac:dyDescent="0.2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 x14ac:dyDescent="0.2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 x14ac:dyDescent="0.2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 x14ac:dyDescent="0.2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 x14ac:dyDescent="0.2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 x14ac:dyDescent="0.2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 x14ac:dyDescent="0.2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 x14ac:dyDescent="0.2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 x14ac:dyDescent="0.2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 x14ac:dyDescent="0.2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 x14ac:dyDescent="0.2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 x14ac:dyDescent="0.2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 x14ac:dyDescent="0.2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 x14ac:dyDescent="0.2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 x14ac:dyDescent="0.2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 x14ac:dyDescent="0.2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 x14ac:dyDescent="0.2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 x14ac:dyDescent="0.2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 x14ac:dyDescent="0.2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 x14ac:dyDescent="0.2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 x14ac:dyDescent="0.2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 x14ac:dyDescent="0.2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 x14ac:dyDescent="0.2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 x14ac:dyDescent="0.2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 x14ac:dyDescent="0.2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 x14ac:dyDescent="0.2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 x14ac:dyDescent="0.2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 x14ac:dyDescent="0.2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 x14ac:dyDescent="0.2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 x14ac:dyDescent="0.2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 x14ac:dyDescent="0.2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 x14ac:dyDescent="0.2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 x14ac:dyDescent="0.2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 x14ac:dyDescent="0.2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 x14ac:dyDescent="0.2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 x14ac:dyDescent="0.2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 x14ac:dyDescent="0.2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 x14ac:dyDescent="0.2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 x14ac:dyDescent="0.2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 x14ac:dyDescent="0.2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 x14ac:dyDescent="0.2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 x14ac:dyDescent="0.2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 x14ac:dyDescent="0.2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 x14ac:dyDescent="0.2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 x14ac:dyDescent="0.2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 x14ac:dyDescent="0.2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 x14ac:dyDescent="0.2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 x14ac:dyDescent="0.2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 x14ac:dyDescent="0.2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 x14ac:dyDescent="0.2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 x14ac:dyDescent="0.2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 x14ac:dyDescent="0.2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 x14ac:dyDescent="0.2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 x14ac:dyDescent="0.2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 x14ac:dyDescent="0.2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 x14ac:dyDescent="0.2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 x14ac:dyDescent="0.2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 x14ac:dyDescent="0.2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 x14ac:dyDescent="0.2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 x14ac:dyDescent="0.2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 x14ac:dyDescent="0.2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 x14ac:dyDescent="0.2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 x14ac:dyDescent="0.2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 x14ac:dyDescent="0.2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 x14ac:dyDescent="0.2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 x14ac:dyDescent="0.2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 x14ac:dyDescent="0.2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 x14ac:dyDescent="0.2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 x14ac:dyDescent="0.2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 x14ac:dyDescent="0.2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 x14ac:dyDescent="0.2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 x14ac:dyDescent="0.2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 x14ac:dyDescent="0.2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 x14ac:dyDescent="0.2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 x14ac:dyDescent="0.2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 x14ac:dyDescent="0.2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 x14ac:dyDescent="0.2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 x14ac:dyDescent="0.2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 x14ac:dyDescent="0.2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 x14ac:dyDescent="0.2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 x14ac:dyDescent="0.2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 x14ac:dyDescent="0.2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 x14ac:dyDescent="0.2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 x14ac:dyDescent="0.2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 x14ac:dyDescent="0.2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 x14ac:dyDescent="0.2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 x14ac:dyDescent="0.2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 x14ac:dyDescent="0.2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 x14ac:dyDescent="0.2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 x14ac:dyDescent="0.2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 x14ac:dyDescent="0.2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 x14ac:dyDescent="0.2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 x14ac:dyDescent="0.2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 x14ac:dyDescent="0.2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 x14ac:dyDescent="0.2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 x14ac:dyDescent="0.2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 x14ac:dyDescent="0.2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 x14ac:dyDescent="0.2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 x14ac:dyDescent="0.2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 x14ac:dyDescent="0.2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 x14ac:dyDescent="0.2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 x14ac:dyDescent="0.2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 x14ac:dyDescent="0.2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 x14ac:dyDescent="0.2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 x14ac:dyDescent="0.2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 x14ac:dyDescent="0.2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 x14ac:dyDescent="0.2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 x14ac:dyDescent="0.2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 x14ac:dyDescent="0.2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 x14ac:dyDescent="0.2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 x14ac:dyDescent="0.2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 x14ac:dyDescent="0.2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 x14ac:dyDescent="0.2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 x14ac:dyDescent="0.2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 x14ac:dyDescent="0.2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 x14ac:dyDescent="0.2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 x14ac:dyDescent="0.2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 x14ac:dyDescent="0.2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 x14ac:dyDescent="0.2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 x14ac:dyDescent="0.2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 x14ac:dyDescent="0.2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 x14ac:dyDescent="0.2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 x14ac:dyDescent="0.2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 x14ac:dyDescent="0.2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 x14ac:dyDescent="0.2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 x14ac:dyDescent="0.2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 x14ac:dyDescent="0.2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 x14ac:dyDescent="0.2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 x14ac:dyDescent="0.2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 x14ac:dyDescent="0.2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 x14ac:dyDescent="0.2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 x14ac:dyDescent="0.2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 x14ac:dyDescent="0.2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 x14ac:dyDescent="0.2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 x14ac:dyDescent="0.2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 x14ac:dyDescent="0.2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 x14ac:dyDescent="0.2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 x14ac:dyDescent="0.2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 x14ac:dyDescent="0.2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 x14ac:dyDescent="0.2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 x14ac:dyDescent="0.2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 x14ac:dyDescent="0.2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 x14ac:dyDescent="0.2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 x14ac:dyDescent="0.2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 x14ac:dyDescent="0.2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 x14ac:dyDescent="0.2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 x14ac:dyDescent="0.2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 x14ac:dyDescent="0.2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 x14ac:dyDescent="0.2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 x14ac:dyDescent="0.2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 x14ac:dyDescent="0.2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 x14ac:dyDescent="0.2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 x14ac:dyDescent="0.2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 x14ac:dyDescent="0.2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 x14ac:dyDescent="0.2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 x14ac:dyDescent="0.2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 x14ac:dyDescent="0.2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 x14ac:dyDescent="0.2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 x14ac:dyDescent="0.2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 x14ac:dyDescent="0.2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 x14ac:dyDescent="0.2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 x14ac:dyDescent="0.2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 x14ac:dyDescent="0.2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 x14ac:dyDescent="0.2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 x14ac:dyDescent="0.2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 x14ac:dyDescent="0.2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 x14ac:dyDescent="0.2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 x14ac:dyDescent="0.2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 x14ac:dyDescent="0.2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 x14ac:dyDescent="0.2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 x14ac:dyDescent="0.2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 x14ac:dyDescent="0.2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 x14ac:dyDescent="0.2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 x14ac:dyDescent="0.2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 x14ac:dyDescent="0.2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 x14ac:dyDescent="0.2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 x14ac:dyDescent="0.2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 x14ac:dyDescent="0.2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 x14ac:dyDescent="0.2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 x14ac:dyDescent="0.2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 x14ac:dyDescent="0.2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 x14ac:dyDescent="0.2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 x14ac:dyDescent="0.2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 x14ac:dyDescent="0.2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 x14ac:dyDescent="0.2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 x14ac:dyDescent="0.2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 x14ac:dyDescent="0.2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 x14ac:dyDescent="0.2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 x14ac:dyDescent="0.2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 x14ac:dyDescent="0.2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 x14ac:dyDescent="0.2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 x14ac:dyDescent="0.2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 x14ac:dyDescent="0.2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 x14ac:dyDescent="0.2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 x14ac:dyDescent="0.2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 x14ac:dyDescent="0.2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 x14ac:dyDescent="0.2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 x14ac:dyDescent="0.2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 x14ac:dyDescent="0.2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 x14ac:dyDescent="0.2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 x14ac:dyDescent="0.2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 x14ac:dyDescent="0.2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 x14ac:dyDescent="0.2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 x14ac:dyDescent="0.2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 x14ac:dyDescent="0.2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 x14ac:dyDescent="0.2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 x14ac:dyDescent="0.2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 x14ac:dyDescent="0.2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 x14ac:dyDescent="0.2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 x14ac:dyDescent="0.2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 x14ac:dyDescent="0.2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 x14ac:dyDescent="0.2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 x14ac:dyDescent="0.2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 x14ac:dyDescent="0.2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 x14ac:dyDescent="0.2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 x14ac:dyDescent="0.2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 x14ac:dyDescent="0.2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 x14ac:dyDescent="0.2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 x14ac:dyDescent="0.2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 x14ac:dyDescent="0.2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 x14ac:dyDescent="0.2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 x14ac:dyDescent="0.2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 x14ac:dyDescent="0.2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 x14ac:dyDescent="0.2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 x14ac:dyDescent="0.2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 x14ac:dyDescent="0.2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 x14ac:dyDescent="0.2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 x14ac:dyDescent="0.2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 x14ac:dyDescent="0.2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 x14ac:dyDescent="0.2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 x14ac:dyDescent="0.2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 x14ac:dyDescent="0.2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 x14ac:dyDescent="0.2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 x14ac:dyDescent="0.2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 x14ac:dyDescent="0.2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 x14ac:dyDescent="0.2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 x14ac:dyDescent="0.2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 x14ac:dyDescent="0.2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 x14ac:dyDescent="0.2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 x14ac:dyDescent="0.2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 x14ac:dyDescent="0.2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 x14ac:dyDescent="0.2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 x14ac:dyDescent="0.2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 x14ac:dyDescent="0.2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 x14ac:dyDescent="0.2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 x14ac:dyDescent="0.2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 x14ac:dyDescent="0.2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 x14ac:dyDescent="0.2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 x14ac:dyDescent="0.2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 x14ac:dyDescent="0.2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 x14ac:dyDescent="0.2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 x14ac:dyDescent="0.2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 x14ac:dyDescent="0.2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 x14ac:dyDescent="0.2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 x14ac:dyDescent="0.2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 x14ac:dyDescent="0.2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 x14ac:dyDescent="0.2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 x14ac:dyDescent="0.2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 x14ac:dyDescent="0.2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 x14ac:dyDescent="0.2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 x14ac:dyDescent="0.2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 x14ac:dyDescent="0.2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 x14ac:dyDescent="0.2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 x14ac:dyDescent="0.2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 x14ac:dyDescent="0.2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 x14ac:dyDescent="0.2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 x14ac:dyDescent="0.2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 x14ac:dyDescent="0.2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 x14ac:dyDescent="0.2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 x14ac:dyDescent="0.2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 x14ac:dyDescent="0.2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 x14ac:dyDescent="0.2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 x14ac:dyDescent="0.2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 x14ac:dyDescent="0.2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 x14ac:dyDescent="0.2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 x14ac:dyDescent="0.2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 x14ac:dyDescent="0.2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 x14ac:dyDescent="0.2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 x14ac:dyDescent="0.2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 x14ac:dyDescent="0.2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 x14ac:dyDescent="0.2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 x14ac:dyDescent="0.2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 x14ac:dyDescent="0.2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 x14ac:dyDescent="0.2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 x14ac:dyDescent="0.2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 x14ac:dyDescent="0.2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 x14ac:dyDescent="0.2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 x14ac:dyDescent="0.2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 x14ac:dyDescent="0.2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 x14ac:dyDescent="0.2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 x14ac:dyDescent="0.2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 x14ac:dyDescent="0.2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 x14ac:dyDescent="0.2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 x14ac:dyDescent="0.2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 x14ac:dyDescent="0.2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 x14ac:dyDescent="0.2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 x14ac:dyDescent="0.2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 x14ac:dyDescent="0.2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 x14ac:dyDescent="0.2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 x14ac:dyDescent="0.2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 x14ac:dyDescent="0.2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 x14ac:dyDescent="0.2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 x14ac:dyDescent="0.2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 x14ac:dyDescent="0.2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 x14ac:dyDescent="0.2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 x14ac:dyDescent="0.2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 x14ac:dyDescent="0.2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 x14ac:dyDescent="0.2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 x14ac:dyDescent="0.2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 x14ac:dyDescent="0.2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 x14ac:dyDescent="0.2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 x14ac:dyDescent="0.2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 x14ac:dyDescent="0.2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 x14ac:dyDescent="0.2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 x14ac:dyDescent="0.2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 x14ac:dyDescent="0.2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 x14ac:dyDescent="0.2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 x14ac:dyDescent="0.2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 x14ac:dyDescent="0.2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 x14ac:dyDescent="0.2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 x14ac:dyDescent="0.2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 x14ac:dyDescent="0.2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 x14ac:dyDescent="0.2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 x14ac:dyDescent="0.2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 x14ac:dyDescent="0.2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 x14ac:dyDescent="0.2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 x14ac:dyDescent="0.2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 x14ac:dyDescent="0.2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 x14ac:dyDescent="0.2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 x14ac:dyDescent="0.2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 x14ac:dyDescent="0.2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 x14ac:dyDescent="0.2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 x14ac:dyDescent="0.2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 x14ac:dyDescent="0.2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 x14ac:dyDescent="0.2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 x14ac:dyDescent="0.2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 x14ac:dyDescent="0.2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 x14ac:dyDescent="0.2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 x14ac:dyDescent="0.2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 x14ac:dyDescent="0.2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 x14ac:dyDescent="0.2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 x14ac:dyDescent="0.2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 x14ac:dyDescent="0.2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 x14ac:dyDescent="0.2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 x14ac:dyDescent="0.2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 x14ac:dyDescent="0.2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 x14ac:dyDescent="0.2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 x14ac:dyDescent="0.2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 x14ac:dyDescent="0.2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 x14ac:dyDescent="0.2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 x14ac:dyDescent="0.2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 x14ac:dyDescent="0.2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 x14ac:dyDescent="0.2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 x14ac:dyDescent="0.2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 x14ac:dyDescent="0.2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 x14ac:dyDescent="0.2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 x14ac:dyDescent="0.2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 x14ac:dyDescent="0.2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 x14ac:dyDescent="0.2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 x14ac:dyDescent="0.2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 x14ac:dyDescent="0.2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 x14ac:dyDescent="0.2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 x14ac:dyDescent="0.2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 x14ac:dyDescent="0.2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 x14ac:dyDescent="0.2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 x14ac:dyDescent="0.2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 x14ac:dyDescent="0.2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 x14ac:dyDescent="0.2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 x14ac:dyDescent="0.2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 x14ac:dyDescent="0.2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 x14ac:dyDescent="0.2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 x14ac:dyDescent="0.2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 x14ac:dyDescent="0.2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 x14ac:dyDescent="0.2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 x14ac:dyDescent="0.2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 x14ac:dyDescent="0.2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 x14ac:dyDescent="0.2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 x14ac:dyDescent="0.2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 x14ac:dyDescent="0.2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 x14ac:dyDescent="0.2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 x14ac:dyDescent="0.2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 x14ac:dyDescent="0.2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 x14ac:dyDescent="0.2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 x14ac:dyDescent="0.2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 x14ac:dyDescent="0.2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 x14ac:dyDescent="0.2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 x14ac:dyDescent="0.2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 x14ac:dyDescent="0.2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 x14ac:dyDescent="0.2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 x14ac:dyDescent="0.2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 x14ac:dyDescent="0.2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 x14ac:dyDescent="0.2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 x14ac:dyDescent="0.2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 x14ac:dyDescent="0.2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 x14ac:dyDescent="0.2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 x14ac:dyDescent="0.2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 x14ac:dyDescent="0.2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 x14ac:dyDescent="0.2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 x14ac:dyDescent="0.2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 x14ac:dyDescent="0.2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 x14ac:dyDescent="0.2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 x14ac:dyDescent="0.2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 x14ac:dyDescent="0.2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 x14ac:dyDescent="0.2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 x14ac:dyDescent="0.2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 x14ac:dyDescent="0.2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 x14ac:dyDescent="0.2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 x14ac:dyDescent="0.2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 x14ac:dyDescent="0.2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 x14ac:dyDescent="0.2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 x14ac:dyDescent="0.2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 x14ac:dyDescent="0.2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 x14ac:dyDescent="0.2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 x14ac:dyDescent="0.2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 x14ac:dyDescent="0.2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 x14ac:dyDescent="0.2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 x14ac:dyDescent="0.2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 x14ac:dyDescent="0.2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 x14ac:dyDescent="0.2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 x14ac:dyDescent="0.2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 x14ac:dyDescent="0.2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 x14ac:dyDescent="0.2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 x14ac:dyDescent="0.2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 x14ac:dyDescent="0.2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 x14ac:dyDescent="0.2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 x14ac:dyDescent="0.2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 x14ac:dyDescent="0.2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 x14ac:dyDescent="0.2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 x14ac:dyDescent="0.2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 x14ac:dyDescent="0.2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 x14ac:dyDescent="0.2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 x14ac:dyDescent="0.2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 x14ac:dyDescent="0.2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 x14ac:dyDescent="0.2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 x14ac:dyDescent="0.2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 x14ac:dyDescent="0.2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 x14ac:dyDescent="0.2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 x14ac:dyDescent="0.2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 x14ac:dyDescent="0.2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 x14ac:dyDescent="0.2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 x14ac:dyDescent="0.2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 x14ac:dyDescent="0.2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 x14ac:dyDescent="0.2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 x14ac:dyDescent="0.2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 x14ac:dyDescent="0.2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 x14ac:dyDescent="0.2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 x14ac:dyDescent="0.2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 x14ac:dyDescent="0.2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 x14ac:dyDescent="0.2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 x14ac:dyDescent="0.2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 x14ac:dyDescent="0.2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 x14ac:dyDescent="0.2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 x14ac:dyDescent="0.2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 x14ac:dyDescent="0.2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 x14ac:dyDescent="0.2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 x14ac:dyDescent="0.2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 x14ac:dyDescent="0.2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 x14ac:dyDescent="0.2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 x14ac:dyDescent="0.2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 x14ac:dyDescent="0.2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 x14ac:dyDescent="0.2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 x14ac:dyDescent="0.2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 x14ac:dyDescent="0.2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 x14ac:dyDescent="0.2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 x14ac:dyDescent="0.2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 x14ac:dyDescent="0.2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 x14ac:dyDescent="0.2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 x14ac:dyDescent="0.2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 x14ac:dyDescent="0.2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 x14ac:dyDescent="0.2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 x14ac:dyDescent="0.2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 x14ac:dyDescent="0.2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 x14ac:dyDescent="0.2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 x14ac:dyDescent="0.2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 x14ac:dyDescent="0.2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 x14ac:dyDescent="0.2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 x14ac:dyDescent="0.2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 x14ac:dyDescent="0.2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 x14ac:dyDescent="0.2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 x14ac:dyDescent="0.2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 x14ac:dyDescent="0.2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 x14ac:dyDescent="0.2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 x14ac:dyDescent="0.2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 x14ac:dyDescent="0.2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 x14ac:dyDescent="0.2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 x14ac:dyDescent="0.2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 x14ac:dyDescent="0.2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 x14ac:dyDescent="0.2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 x14ac:dyDescent="0.2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 x14ac:dyDescent="0.2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 x14ac:dyDescent="0.2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 x14ac:dyDescent="0.2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 x14ac:dyDescent="0.2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 x14ac:dyDescent="0.2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 x14ac:dyDescent="0.2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 x14ac:dyDescent="0.2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 x14ac:dyDescent="0.2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 x14ac:dyDescent="0.2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 x14ac:dyDescent="0.2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 x14ac:dyDescent="0.2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 x14ac:dyDescent="0.2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 x14ac:dyDescent="0.2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 x14ac:dyDescent="0.2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 x14ac:dyDescent="0.2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 x14ac:dyDescent="0.2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 x14ac:dyDescent="0.2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 x14ac:dyDescent="0.2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 x14ac:dyDescent="0.2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 x14ac:dyDescent="0.2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 x14ac:dyDescent="0.2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 x14ac:dyDescent="0.2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 x14ac:dyDescent="0.2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 x14ac:dyDescent="0.2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 x14ac:dyDescent="0.2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 x14ac:dyDescent="0.2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 x14ac:dyDescent="0.2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 x14ac:dyDescent="0.2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 x14ac:dyDescent="0.2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 x14ac:dyDescent="0.2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 x14ac:dyDescent="0.2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 x14ac:dyDescent="0.2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 x14ac:dyDescent="0.2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 x14ac:dyDescent="0.2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 x14ac:dyDescent="0.2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 x14ac:dyDescent="0.2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 x14ac:dyDescent="0.2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 x14ac:dyDescent="0.2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 x14ac:dyDescent="0.2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 x14ac:dyDescent="0.2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 x14ac:dyDescent="0.2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 x14ac:dyDescent="0.2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 x14ac:dyDescent="0.2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 x14ac:dyDescent="0.2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 x14ac:dyDescent="0.2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 x14ac:dyDescent="0.2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 x14ac:dyDescent="0.2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 x14ac:dyDescent="0.2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 x14ac:dyDescent="0.2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 x14ac:dyDescent="0.2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 x14ac:dyDescent="0.2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 x14ac:dyDescent="0.2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 x14ac:dyDescent="0.2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 x14ac:dyDescent="0.2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 x14ac:dyDescent="0.2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 x14ac:dyDescent="0.2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 x14ac:dyDescent="0.2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 x14ac:dyDescent="0.2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 x14ac:dyDescent="0.2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 x14ac:dyDescent="0.2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 x14ac:dyDescent="0.2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 x14ac:dyDescent="0.2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 x14ac:dyDescent="0.2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 x14ac:dyDescent="0.2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 x14ac:dyDescent="0.2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 x14ac:dyDescent="0.2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 x14ac:dyDescent="0.2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 x14ac:dyDescent="0.2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 x14ac:dyDescent="0.2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 x14ac:dyDescent="0.2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 x14ac:dyDescent="0.2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 x14ac:dyDescent="0.2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 x14ac:dyDescent="0.2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 x14ac:dyDescent="0.2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 x14ac:dyDescent="0.2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 x14ac:dyDescent="0.2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 x14ac:dyDescent="0.2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 x14ac:dyDescent="0.2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 x14ac:dyDescent="0.2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 x14ac:dyDescent="0.2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 x14ac:dyDescent="0.2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 x14ac:dyDescent="0.2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 x14ac:dyDescent="0.2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 x14ac:dyDescent="0.2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 x14ac:dyDescent="0.2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 x14ac:dyDescent="0.2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 x14ac:dyDescent="0.2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 x14ac:dyDescent="0.2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 x14ac:dyDescent="0.2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 x14ac:dyDescent="0.2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 x14ac:dyDescent="0.2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 x14ac:dyDescent="0.2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 x14ac:dyDescent="0.2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 x14ac:dyDescent="0.2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 x14ac:dyDescent="0.2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 x14ac:dyDescent="0.2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 x14ac:dyDescent="0.2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 x14ac:dyDescent="0.2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 x14ac:dyDescent="0.2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 x14ac:dyDescent="0.2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 x14ac:dyDescent="0.2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 x14ac:dyDescent="0.2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 x14ac:dyDescent="0.2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 x14ac:dyDescent="0.2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 x14ac:dyDescent="0.2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 x14ac:dyDescent="0.2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 x14ac:dyDescent="0.2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 x14ac:dyDescent="0.2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 x14ac:dyDescent="0.2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 x14ac:dyDescent="0.2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 x14ac:dyDescent="0.2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 x14ac:dyDescent="0.2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 x14ac:dyDescent="0.2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 x14ac:dyDescent="0.2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 x14ac:dyDescent="0.2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 x14ac:dyDescent="0.2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 x14ac:dyDescent="0.2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 x14ac:dyDescent="0.2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 x14ac:dyDescent="0.2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 x14ac:dyDescent="0.2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 x14ac:dyDescent="0.2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 x14ac:dyDescent="0.2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 x14ac:dyDescent="0.2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 x14ac:dyDescent="0.2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 x14ac:dyDescent="0.2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 x14ac:dyDescent="0.2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 x14ac:dyDescent="0.2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 x14ac:dyDescent="0.2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 x14ac:dyDescent="0.2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 x14ac:dyDescent="0.2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 x14ac:dyDescent="0.2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 x14ac:dyDescent="0.2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 x14ac:dyDescent="0.2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 x14ac:dyDescent="0.2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 x14ac:dyDescent="0.2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 x14ac:dyDescent="0.2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 x14ac:dyDescent="0.2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 x14ac:dyDescent="0.2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 x14ac:dyDescent="0.2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 x14ac:dyDescent="0.2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 x14ac:dyDescent="0.2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 x14ac:dyDescent="0.2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 x14ac:dyDescent="0.2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 x14ac:dyDescent="0.2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 x14ac:dyDescent="0.2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 x14ac:dyDescent="0.2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 x14ac:dyDescent="0.2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 x14ac:dyDescent="0.2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 x14ac:dyDescent="0.2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 x14ac:dyDescent="0.2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 x14ac:dyDescent="0.2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 x14ac:dyDescent="0.2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 x14ac:dyDescent="0.2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 x14ac:dyDescent="0.2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 x14ac:dyDescent="0.2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 x14ac:dyDescent="0.2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 x14ac:dyDescent="0.2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 x14ac:dyDescent="0.2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 x14ac:dyDescent="0.2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 x14ac:dyDescent="0.2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 x14ac:dyDescent="0.2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 x14ac:dyDescent="0.2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 x14ac:dyDescent="0.2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 x14ac:dyDescent="0.2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 x14ac:dyDescent="0.2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 x14ac:dyDescent="0.2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 x14ac:dyDescent="0.2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 x14ac:dyDescent="0.2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 x14ac:dyDescent="0.2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 x14ac:dyDescent="0.2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 x14ac:dyDescent="0.2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 x14ac:dyDescent="0.2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 x14ac:dyDescent="0.2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 x14ac:dyDescent="0.2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 x14ac:dyDescent="0.2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 x14ac:dyDescent="0.2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 x14ac:dyDescent="0.2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 x14ac:dyDescent="0.2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 x14ac:dyDescent="0.2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 x14ac:dyDescent="0.2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 x14ac:dyDescent="0.2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 x14ac:dyDescent="0.2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 x14ac:dyDescent="0.2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 x14ac:dyDescent="0.2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 x14ac:dyDescent="0.2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 x14ac:dyDescent="0.2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 x14ac:dyDescent="0.2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 x14ac:dyDescent="0.2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 x14ac:dyDescent="0.2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 x14ac:dyDescent="0.2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 x14ac:dyDescent="0.2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 x14ac:dyDescent="0.2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 x14ac:dyDescent="0.2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 x14ac:dyDescent="0.2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 x14ac:dyDescent="0.2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 x14ac:dyDescent="0.2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 x14ac:dyDescent="0.2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 x14ac:dyDescent="0.2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 x14ac:dyDescent="0.2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 x14ac:dyDescent="0.2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 x14ac:dyDescent="0.2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 x14ac:dyDescent="0.2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 x14ac:dyDescent="0.2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 x14ac:dyDescent="0.2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 x14ac:dyDescent="0.2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 x14ac:dyDescent="0.2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 x14ac:dyDescent="0.2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 x14ac:dyDescent="0.2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 x14ac:dyDescent="0.2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 x14ac:dyDescent="0.2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 x14ac:dyDescent="0.2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 x14ac:dyDescent="0.2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 x14ac:dyDescent="0.2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 x14ac:dyDescent="0.2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 x14ac:dyDescent="0.2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 x14ac:dyDescent="0.2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 x14ac:dyDescent="0.2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 x14ac:dyDescent="0.2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 x14ac:dyDescent="0.2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 x14ac:dyDescent="0.2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 x14ac:dyDescent="0.2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 x14ac:dyDescent="0.2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 x14ac:dyDescent="0.2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 x14ac:dyDescent="0.2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 x14ac:dyDescent="0.2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 x14ac:dyDescent="0.2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 x14ac:dyDescent="0.2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 x14ac:dyDescent="0.2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 x14ac:dyDescent="0.2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 x14ac:dyDescent="0.2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 x14ac:dyDescent="0.2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 x14ac:dyDescent="0.2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 x14ac:dyDescent="0.2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 x14ac:dyDescent="0.2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 x14ac:dyDescent="0.2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 x14ac:dyDescent="0.2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 x14ac:dyDescent="0.2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 x14ac:dyDescent="0.2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 x14ac:dyDescent="0.2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 x14ac:dyDescent="0.2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 x14ac:dyDescent="0.2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 x14ac:dyDescent="0.2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 x14ac:dyDescent="0.2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 x14ac:dyDescent="0.2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 x14ac:dyDescent="0.2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 x14ac:dyDescent="0.2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 x14ac:dyDescent="0.2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 x14ac:dyDescent="0.2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 x14ac:dyDescent="0.2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 x14ac:dyDescent="0.2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 x14ac:dyDescent="0.2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 x14ac:dyDescent="0.2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 x14ac:dyDescent="0.2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 x14ac:dyDescent="0.2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 x14ac:dyDescent="0.2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 x14ac:dyDescent="0.2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 x14ac:dyDescent="0.2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 x14ac:dyDescent="0.2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 x14ac:dyDescent="0.2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 x14ac:dyDescent="0.2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 x14ac:dyDescent="0.2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 x14ac:dyDescent="0.2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 x14ac:dyDescent="0.2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 x14ac:dyDescent="0.2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 x14ac:dyDescent="0.2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 x14ac:dyDescent="0.2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 x14ac:dyDescent="0.2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 x14ac:dyDescent="0.2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 x14ac:dyDescent="0.2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 x14ac:dyDescent="0.2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 x14ac:dyDescent="0.2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 x14ac:dyDescent="0.2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 x14ac:dyDescent="0.2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 x14ac:dyDescent="0.2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 x14ac:dyDescent="0.2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 x14ac:dyDescent="0.2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 x14ac:dyDescent="0.2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 x14ac:dyDescent="0.2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 x14ac:dyDescent="0.2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 x14ac:dyDescent="0.2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 x14ac:dyDescent="0.2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 x14ac:dyDescent="0.2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 x14ac:dyDescent="0.2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 x14ac:dyDescent="0.2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 x14ac:dyDescent="0.2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 x14ac:dyDescent="0.2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 x14ac:dyDescent="0.2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 x14ac:dyDescent="0.2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 x14ac:dyDescent="0.2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 x14ac:dyDescent="0.2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 x14ac:dyDescent="0.2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 x14ac:dyDescent="0.2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 x14ac:dyDescent="0.2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 x14ac:dyDescent="0.2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 x14ac:dyDescent="0.2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 x14ac:dyDescent="0.2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 x14ac:dyDescent="0.2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 x14ac:dyDescent="0.2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 x14ac:dyDescent="0.2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 x14ac:dyDescent="0.2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 x14ac:dyDescent="0.2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 x14ac:dyDescent="0.2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 x14ac:dyDescent="0.2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 x14ac:dyDescent="0.2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 x14ac:dyDescent="0.2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 x14ac:dyDescent="0.2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 x14ac:dyDescent="0.2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 x14ac:dyDescent="0.2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 x14ac:dyDescent="0.2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 x14ac:dyDescent="0.2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 x14ac:dyDescent="0.2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 x14ac:dyDescent="0.2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 x14ac:dyDescent="0.2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 x14ac:dyDescent="0.2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 x14ac:dyDescent="0.2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 x14ac:dyDescent="0.2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 x14ac:dyDescent="0.2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 x14ac:dyDescent="0.2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 x14ac:dyDescent="0.2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 x14ac:dyDescent="0.2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 x14ac:dyDescent="0.2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 x14ac:dyDescent="0.2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 x14ac:dyDescent="0.2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 x14ac:dyDescent="0.2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 x14ac:dyDescent="0.2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 x14ac:dyDescent="0.2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 x14ac:dyDescent="0.2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 x14ac:dyDescent="0.2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 x14ac:dyDescent="0.2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 x14ac:dyDescent="0.2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2018-10-23T02:36:24Z</dcterms:modified>
</cp:coreProperties>
</file>