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0" yWindow="460" windowWidth="28800" windowHeight="16660" activeTab="2"/>
  </bookViews>
  <sheets>
    <sheet name="且慢组合" sheetId="1" r:id="rId1"/>
    <sheet name="雪球组合" sheetId="3" r:id="rId2"/>
    <sheet name="ETF计划" sheetId="4" r:id="rId3"/>
    <sheet name="模拟组合与实盘对比" sheetId="2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C17" i="4"/>
  <c r="B21" i="4"/>
  <c r="B3" i="4"/>
  <c r="E25" i="4"/>
  <c r="E27" i="4"/>
  <c r="F2" i="4"/>
  <c r="E28" i="4"/>
  <c r="D24" i="4"/>
  <c r="C23" i="4"/>
  <c r="D23" i="4"/>
  <c r="C22" i="4"/>
  <c r="D22" i="4"/>
  <c r="C21" i="4"/>
  <c r="D21" i="4"/>
  <c r="D20" i="4"/>
  <c r="C19" i="4"/>
  <c r="D19" i="4"/>
  <c r="C18" i="4"/>
  <c r="D18" i="4"/>
  <c r="D17" i="4"/>
  <c r="C16" i="4"/>
  <c r="D16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D4" i="4"/>
  <c r="C3" i="4"/>
  <c r="D3" i="4"/>
  <c r="C2" i="4"/>
  <c r="D2" i="4"/>
  <c r="E25" i="3"/>
  <c r="E27" i="3"/>
  <c r="F2" i="3"/>
  <c r="E28" i="3"/>
  <c r="D24" i="3"/>
  <c r="C23" i="3"/>
  <c r="D23" i="3"/>
  <c r="C22" i="3"/>
  <c r="D22" i="3"/>
  <c r="C21" i="3"/>
  <c r="D21" i="3"/>
  <c r="D20" i="3"/>
  <c r="C19" i="3"/>
  <c r="D19" i="3"/>
  <c r="C18" i="3"/>
  <c r="D18" i="3"/>
  <c r="C17" i="3"/>
  <c r="D17" i="3"/>
  <c r="C16" i="3"/>
  <c r="D16" i="3"/>
  <c r="C15" i="3"/>
  <c r="D15" i="3"/>
  <c r="C14" i="3"/>
  <c r="D14" i="3"/>
  <c r="C13" i="3"/>
  <c r="D13" i="3"/>
  <c r="C12" i="3"/>
  <c r="D12" i="3"/>
  <c r="C11" i="3"/>
  <c r="D11" i="3"/>
  <c r="C10" i="3"/>
  <c r="D10" i="3"/>
  <c r="C9" i="3"/>
  <c r="D9" i="3"/>
  <c r="C8" i="3"/>
  <c r="D8" i="3"/>
  <c r="C7" i="3"/>
  <c r="D7" i="3"/>
  <c r="C6" i="3"/>
  <c r="D6" i="3"/>
  <c r="C5" i="3"/>
  <c r="D5" i="3"/>
  <c r="C4" i="3"/>
  <c r="D4" i="3"/>
  <c r="C3" i="3"/>
  <c r="D3" i="3"/>
  <c r="C2" i="3"/>
  <c r="D2" i="3"/>
  <c r="E25" i="1"/>
  <c r="E27" i="1"/>
  <c r="F2" i="1"/>
  <c r="E28" i="1"/>
  <c r="B3" i="1"/>
  <c r="C3" i="1"/>
  <c r="D3" i="1"/>
  <c r="B4" i="1"/>
  <c r="C4" i="1"/>
  <c r="D4" i="1"/>
  <c r="C5" i="1"/>
  <c r="D5" i="1"/>
  <c r="B6" i="1"/>
  <c r="C6" i="1"/>
  <c r="D6" i="1"/>
  <c r="C7" i="1"/>
  <c r="D7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C16" i="1"/>
  <c r="D16" i="1"/>
  <c r="C17" i="1"/>
  <c r="D17" i="1"/>
  <c r="C18" i="1"/>
  <c r="D18" i="1"/>
  <c r="C19" i="1"/>
  <c r="D19" i="1"/>
  <c r="D20" i="1"/>
  <c r="B21" i="1"/>
  <c r="C21" i="1"/>
  <c r="D21" i="1"/>
  <c r="C22" i="1"/>
  <c r="D22" i="1"/>
  <c r="C23" i="1"/>
  <c r="D23" i="1"/>
  <c r="D24" i="1"/>
  <c r="C2" i="1"/>
  <c r="D2" i="1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<sst xmlns="http://schemas.openxmlformats.org/spreadsheetml/2006/main" count="134" uniqueCount="48">
  <si>
    <t>品种</t>
    <rPh sb="0" eb="1">
      <t>pin'z</t>
    </rPh>
    <rPh sb="1" eb="2">
      <t>zhong</t>
    </rPh>
    <phoneticPr fontId="2" type="noConversion"/>
  </si>
  <si>
    <t>上证50</t>
    <rPh sb="0" eb="1">
      <t>shang'z</t>
    </rPh>
    <phoneticPr fontId="2" type="noConversion"/>
  </si>
  <si>
    <t>沪深300</t>
    <rPh sb="0" eb="1">
      <t>hu's</t>
    </rPh>
    <phoneticPr fontId="2" type="noConversion"/>
  </si>
  <si>
    <t>中证500</t>
    <rPh sb="0" eb="1">
      <t>zhong'z</t>
    </rPh>
    <phoneticPr fontId="2" type="noConversion"/>
  </si>
  <si>
    <t>中证1000</t>
    <rPh sb="0" eb="1">
      <t>zhong'z</t>
    </rPh>
    <phoneticPr fontId="2" type="noConversion"/>
  </si>
  <si>
    <t>创业板</t>
    <rPh sb="0" eb="1">
      <t>chuang'ye'b</t>
    </rPh>
    <phoneticPr fontId="2" type="noConversion"/>
  </si>
  <si>
    <t>中证红利</t>
    <rPh sb="0" eb="1">
      <t>zhong'z</t>
    </rPh>
    <rPh sb="2" eb="3">
      <t>hong'li</t>
    </rPh>
    <phoneticPr fontId="2" type="noConversion"/>
  </si>
  <si>
    <t>养老产业</t>
    <rPh sb="0" eb="1">
      <t>yang'lao'chan'y</t>
    </rPh>
    <phoneticPr fontId="2" type="noConversion"/>
  </si>
  <si>
    <t>全指医药</t>
    <rPh sb="0" eb="1">
      <t>quan'zhi'yi'y</t>
    </rPh>
    <phoneticPr fontId="2" type="noConversion"/>
  </si>
  <si>
    <t>中证传媒</t>
    <rPh sb="0" eb="1">
      <t>zhong'z</t>
    </rPh>
    <rPh sb="2" eb="3">
      <t>chuan'm</t>
    </rPh>
    <phoneticPr fontId="2" type="noConversion"/>
  </si>
  <si>
    <t>中证环保</t>
    <rPh sb="0" eb="1">
      <t>zhong'z</t>
    </rPh>
    <rPh sb="2" eb="3">
      <t>huan'bao</t>
    </rPh>
    <phoneticPr fontId="2" type="noConversion"/>
  </si>
  <si>
    <t>全指消费</t>
    <rPh sb="0" eb="1">
      <t>quan'zhi</t>
    </rPh>
    <rPh sb="2" eb="3">
      <t>xiao'f</t>
    </rPh>
    <phoneticPr fontId="2" type="noConversion"/>
  </si>
  <si>
    <t>金融地产</t>
    <rPh sb="0" eb="1">
      <t>jin'r</t>
    </rPh>
    <rPh sb="2" eb="3">
      <t>di'c</t>
    </rPh>
    <phoneticPr fontId="2" type="noConversion"/>
  </si>
  <si>
    <t>证券公司</t>
    <rPh sb="0" eb="1">
      <t>zheng'quan</t>
    </rPh>
    <rPh sb="2" eb="3">
      <t>gong'si</t>
    </rPh>
    <phoneticPr fontId="2" type="noConversion"/>
  </si>
  <si>
    <t>恒生</t>
    <rPh sb="0" eb="1">
      <t>heng'sheng</t>
    </rPh>
    <phoneticPr fontId="2" type="noConversion"/>
  </si>
  <si>
    <t>海外互联网</t>
    <rPh sb="0" eb="1">
      <t>hai'w</t>
    </rPh>
    <rPh sb="2" eb="3">
      <t>hu'l'w</t>
    </rPh>
    <phoneticPr fontId="2" type="noConversion"/>
  </si>
  <si>
    <t>德国30</t>
    <rPh sb="0" eb="1">
      <t>de'guo</t>
    </rPh>
    <phoneticPr fontId="2" type="noConversion"/>
  </si>
  <si>
    <t>原油</t>
    <rPh sb="0" eb="1">
      <t>yuan'you</t>
    </rPh>
    <phoneticPr fontId="2" type="noConversion"/>
  </si>
  <si>
    <t>黄金</t>
    <rPh sb="0" eb="1">
      <t>huang'j</t>
    </rPh>
    <phoneticPr fontId="2" type="noConversion"/>
  </si>
  <si>
    <t>白银</t>
    <rPh sb="0" eb="1">
      <t>bai'yin</t>
    </rPh>
    <phoneticPr fontId="2" type="noConversion"/>
  </si>
  <si>
    <t>可转债</t>
    <rPh sb="0" eb="1">
      <t>ke'zhuan'z</t>
    </rPh>
    <phoneticPr fontId="2" type="noConversion"/>
  </si>
  <si>
    <t>美元债</t>
    <rPh sb="0" eb="1">
      <t>mei'yuan'z</t>
    </rPh>
    <phoneticPr fontId="2" type="noConversion"/>
  </si>
  <si>
    <t>货币基金</t>
    <rPh sb="0" eb="1">
      <t>huo'b'j'j</t>
    </rPh>
    <phoneticPr fontId="2" type="noConversion"/>
  </si>
  <si>
    <t>地产定期</t>
    <rPh sb="0" eb="1">
      <t>di'c</t>
    </rPh>
    <rPh sb="2" eb="3">
      <t>ding'qi</t>
    </rPh>
    <phoneticPr fontId="2" type="noConversion"/>
  </si>
  <si>
    <t>本金总和</t>
    <rPh sb="0" eb="1">
      <t>zi'j</t>
    </rPh>
    <rPh sb="2" eb="3">
      <t>ji'shu</t>
    </rPh>
    <phoneticPr fontId="2" type="noConversion"/>
  </si>
  <si>
    <t>第三轮计划本金</t>
    <rPh sb="0" eb="1">
      <t>di'san'ci</t>
    </rPh>
    <rPh sb="2" eb="3">
      <t>lun</t>
    </rPh>
    <rPh sb="3" eb="4">
      <t>ji'h</t>
    </rPh>
    <phoneticPr fontId="2" type="noConversion"/>
  </si>
  <si>
    <t>房地产项目本金</t>
    <rPh sb="0" eb="1">
      <t>fang'di'c</t>
    </rPh>
    <rPh sb="3" eb="4">
      <t>xiang'm</t>
    </rPh>
    <phoneticPr fontId="2" type="noConversion"/>
  </si>
  <si>
    <t>白银本金</t>
    <rPh sb="0" eb="1">
      <t>bai'y</t>
    </rPh>
    <rPh sb="2" eb="3">
      <t>zi'jin</t>
    </rPh>
    <phoneticPr fontId="2" type="noConversion"/>
  </si>
  <si>
    <t>且慢比例</t>
    <phoneticPr fontId="2" type="noConversion"/>
  </si>
  <si>
    <t>实盘比例</t>
    <phoneticPr fontId="2" type="noConversion"/>
  </si>
  <si>
    <t>且慢总市值</t>
    <rPh sb="0" eb="1">
      <t>zong'shi'zhi</t>
    </rPh>
    <phoneticPr fontId="2" type="noConversion"/>
  </si>
  <si>
    <t>且慢占比</t>
    <phoneticPr fontId="2" type="noConversion"/>
  </si>
  <si>
    <t>且慢市值</t>
    <phoneticPr fontId="2" type="noConversion"/>
  </si>
  <si>
    <t>且慢收益率</t>
    <rPh sb="0" eb="1">
      <t>zong</t>
    </rPh>
    <rPh sb="1" eb="2">
      <t>shou'yi'l</t>
    </rPh>
    <phoneticPr fontId="2" type="noConversion"/>
  </si>
  <si>
    <t>资产配置占比</t>
    <phoneticPr fontId="2" type="noConversion"/>
  </si>
  <si>
    <t>资产配置总市值</t>
    <phoneticPr fontId="2" type="noConversion"/>
  </si>
  <si>
    <t>资产配置收益率</t>
    <phoneticPr fontId="2" type="noConversion"/>
  </si>
  <si>
    <t>净值</t>
    <rPh sb="0" eb="1">
      <t>zong</t>
    </rPh>
    <rPh sb="1" eb="2">
      <t>shou'yi'l</t>
    </rPh>
    <phoneticPr fontId="2" type="noConversion"/>
  </si>
  <si>
    <t>雪球比例</t>
    <phoneticPr fontId="2" type="noConversion"/>
  </si>
  <si>
    <t>雪球占比</t>
  </si>
  <si>
    <t>雪球市值</t>
  </si>
  <si>
    <t>雪球总市值</t>
    <phoneticPr fontId="2" type="noConversion"/>
  </si>
  <si>
    <t>雪球收益率</t>
    <phoneticPr fontId="2" type="noConversion"/>
  </si>
  <si>
    <t>ETF计划比例</t>
    <rPh sb="3" eb="4">
      <t>ji'h</t>
    </rPh>
    <rPh sb="5" eb="6">
      <t>bi'li</t>
    </rPh>
    <phoneticPr fontId="2" type="noConversion"/>
  </si>
  <si>
    <t>ETF计划占比</t>
  </si>
  <si>
    <t>ETF计划市值</t>
  </si>
  <si>
    <t>ETF计划总市值</t>
  </si>
  <si>
    <t>ETF计划收益率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</si>
</sst>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00_);[Red]\(0.0000\)"/>
    <numFmt numFmtId="178" formatCode="0.0000"/>
  </numFmts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8" tint="-0.249977111117893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5" sqref="A1:F28"/>
    </sheetView>
  </sheetViews>
  <sheetFormatPr baseColWidth="10" defaultColWidth="8.83203125" defaultRowHeight="15" x14ac:dyDescent="0.2"/>
  <cols>
    <col min="1" max="1" width="15.1640625" bestFit="1" customWidth="1"/>
    <col min="2" max="2" width="9" bestFit="1" customWidth="1"/>
    <col min="3" max="3" width="9.83203125" bestFit="1" customWidth="1"/>
    <col min="4" max="4" width="13" bestFit="1" customWidth="1"/>
    <col min="5" max="5" width="11.5" bestFit="1" customWidth="1"/>
    <col min="6" max="7" width="15.1640625" bestFit="1" customWidth="1"/>
  </cols>
  <sheetData>
    <row r="1" spans="1:6" x14ac:dyDescent="0.2">
      <c r="A1" s="2" t="s">
        <v>0</v>
      </c>
      <c r="B1" s="2" t="s">
        <v>31</v>
      </c>
      <c r="C1" s="2" t="s">
        <v>32</v>
      </c>
      <c r="D1" s="2" t="s">
        <v>34</v>
      </c>
      <c r="E1" s="2"/>
      <c r="F1" s="1" t="s">
        <v>24</v>
      </c>
    </row>
    <row r="2" spans="1:6" x14ac:dyDescent="0.2">
      <c r="A2" s="2" t="s">
        <v>1</v>
      </c>
      <c r="B2" s="3">
        <v>7.1000000000000004E-3</v>
      </c>
      <c r="C2" s="5">
        <f t="shared" ref="C2:C19" si="0">B2*$E$25</f>
        <v>6259.9280000000008</v>
      </c>
      <c r="D2" s="3">
        <f t="shared" ref="D2:D24" si="1">C2/($E$25+$C$24+$F$8)</f>
        <v>6.247969012432064E-3</v>
      </c>
      <c r="F2" s="1">
        <f>F4+F6+F8</f>
        <v>916634.06</v>
      </c>
    </row>
    <row r="3" spans="1:6" x14ac:dyDescent="0.2">
      <c r="A3" s="2" t="s">
        <v>2</v>
      </c>
      <c r="B3" s="3">
        <f>2.73%+1.97%</f>
        <v>4.7E-2</v>
      </c>
      <c r="C3" s="5">
        <f t="shared" si="0"/>
        <v>41438.960000000006</v>
      </c>
      <c r="D3" s="3">
        <f t="shared" si="1"/>
        <v>4.1359794871029157E-2</v>
      </c>
      <c r="F3" s="1" t="s">
        <v>25</v>
      </c>
    </row>
    <row r="4" spans="1:6" x14ac:dyDescent="0.2">
      <c r="A4" s="2" t="s">
        <v>3</v>
      </c>
      <c r="B4" s="3">
        <f>25.12%+1.41%</f>
        <v>0.26530000000000004</v>
      </c>
      <c r="C4" s="5">
        <f t="shared" si="0"/>
        <v>233909.70400000006</v>
      </c>
      <c r="D4" s="3">
        <f t="shared" si="1"/>
        <v>0.23346284211242629</v>
      </c>
      <c r="F4" s="1">
        <v>800000</v>
      </c>
    </row>
    <row r="5" spans="1:6" x14ac:dyDescent="0.2">
      <c r="A5" s="2" t="s">
        <v>4</v>
      </c>
      <c r="B5" s="3">
        <v>6.8900000000000003E-2</v>
      </c>
      <c r="C5" s="5">
        <f t="shared" si="0"/>
        <v>60747.752000000008</v>
      </c>
      <c r="D5" s="3">
        <f t="shared" si="1"/>
        <v>6.0631699289657635E-2</v>
      </c>
      <c r="F5" s="1" t="s">
        <v>26</v>
      </c>
    </row>
    <row r="6" spans="1:6" x14ac:dyDescent="0.2">
      <c r="A6" s="2" t="s">
        <v>5</v>
      </c>
      <c r="B6" s="3">
        <f>1.48%+0.72%</f>
        <v>2.1999999999999999E-2</v>
      </c>
      <c r="C6" s="5">
        <f t="shared" si="0"/>
        <v>19396.960000000003</v>
      </c>
      <c r="D6" s="3">
        <f t="shared" si="1"/>
        <v>1.935990398218386E-2</v>
      </c>
      <c r="F6" s="1">
        <v>100000</v>
      </c>
    </row>
    <row r="7" spans="1:6" x14ac:dyDescent="0.2">
      <c r="A7" s="2" t="s">
        <v>6</v>
      </c>
      <c r="B7" s="3">
        <v>8.9300000000000004E-2</v>
      </c>
      <c r="C7" s="5">
        <f t="shared" si="0"/>
        <v>78734.024000000019</v>
      </c>
      <c r="D7" s="3">
        <f t="shared" si="1"/>
        <v>7.8583610254955402E-2</v>
      </c>
      <c r="F7" s="1" t="s">
        <v>27</v>
      </c>
    </row>
    <row r="8" spans="1:6" x14ac:dyDescent="0.2">
      <c r="A8" s="2" t="s">
        <v>7</v>
      </c>
      <c r="B8" s="3">
        <v>7.46E-2</v>
      </c>
      <c r="C8" s="5">
        <f t="shared" si="0"/>
        <v>65773.328000000009</v>
      </c>
      <c r="D8" s="3">
        <f t="shared" si="1"/>
        <v>6.5647674412314366E-2</v>
      </c>
      <c r="F8" s="1">
        <v>16634.060000000001</v>
      </c>
    </row>
    <row r="9" spans="1:6" x14ac:dyDescent="0.2">
      <c r="A9" s="2" t="s">
        <v>8</v>
      </c>
      <c r="B9" s="3">
        <f>4.07%+2.9%</f>
        <v>6.9699999999999998E-2</v>
      </c>
      <c r="C9" s="5">
        <f t="shared" si="0"/>
        <v>61453.096000000005</v>
      </c>
      <c r="D9" s="3">
        <f t="shared" si="1"/>
        <v>6.1335695798100678E-2</v>
      </c>
    </row>
    <row r="10" spans="1:6" x14ac:dyDescent="0.2">
      <c r="A10" s="2" t="s">
        <v>9</v>
      </c>
      <c r="B10" s="3">
        <f>2.82%</f>
        <v>2.8199999999999999E-2</v>
      </c>
      <c r="C10" s="5">
        <f t="shared" si="0"/>
        <v>24863.376000000004</v>
      </c>
      <c r="D10" s="3">
        <f t="shared" si="1"/>
        <v>2.4815876922617493E-2</v>
      </c>
    </row>
    <row r="11" spans="1:6" x14ac:dyDescent="0.2">
      <c r="A11" s="2" t="s">
        <v>10</v>
      </c>
      <c r="B11" s="3">
        <f>3.4%+2.72%</f>
        <v>6.1200000000000004E-2</v>
      </c>
      <c r="C11" s="5">
        <f t="shared" si="0"/>
        <v>53958.816000000013</v>
      </c>
      <c r="D11" s="3">
        <f t="shared" si="1"/>
        <v>5.3855732895893293E-2</v>
      </c>
    </row>
    <row r="12" spans="1:6" x14ac:dyDescent="0.2">
      <c r="A12" s="2" t="s">
        <v>11</v>
      </c>
      <c r="B12" s="3">
        <f>0.76%</f>
        <v>7.6E-3</v>
      </c>
      <c r="C12" s="5">
        <f t="shared" si="0"/>
        <v>6700.7680000000009</v>
      </c>
      <c r="D12" s="3">
        <f t="shared" si="1"/>
        <v>6.6879668302089702E-3</v>
      </c>
    </row>
    <row r="13" spans="1:6" x14ac:dyDescent="0.2">
      <c r="A13" s="2" t="s">
        <v>12</v>
      </c>
      <c r="B13" s="3">
        <f>2.15%</f>
        <v>2.1499999999999998E-2</v>
      </c>
      <c r="C13" s="5">
        <f t="shared" si="0"/>
        <v>18956.120000000003</v>
      </c>
      <c r="D13" s="3">
        <f t="shared" si="1"/>
        <v>1.8919906164406954E-2</v>
      </c>
    </row>
    <row r="14" spans="1:6" x14ac:dyDescent="0.2">
      <c r="A14" s="2" t="s">
        <v>13</v>
      </c>
      <c r="B14" s="3">
        <f>3.05%</f>
        <v>3.0499999999999999E-2</v>
      </c>
      <c r="C14" s="5">
        <f t="shared" si="0"/>
        <v>26891.24</v>
      </c>
      <c r="D14" s="3">
        <f t="shared" si="1"/>
        <v>2.6839866884391259E-2</v>
      </c>
    </row>
    <row r="15" spans="1:6" x14ac:dyDescent="0.2">
      <c r="A15" s="2" t="s">
        <v>14</v>
      </c>
      <c r="B15" s="3">
        <f>0.6%</f>
        <v>6.0000000000000001E-3</v>
      </c>
      <c r="C15" s="5">
        <f t="shared" si="0"/>
        <v>5290.0800000000008</v>
      </c>
      <c r="D15" s="3">
        <f t="shared" si="1"/>
        <v>5.2799738133228712E-3</v>
      </c>
    </row>
    <row r="16" spans="1:6" x14ac:dyDescent="0.2">
      <c r="A16" s="2" t="s">
        <v>15</v>
      </c>
      <c r="B16" s="3">
        <v>1.2699999999999999E-2</v>
      </c>
      <c r="C16" s="5">
        <f t="shared" si="0"/>
        <v>11197.336000000001</v>
      </c>
      <c r="D16" s="3">
        <f t="shared" si="1"/>
        <v>1.1175944571533409E-2</v>
      </c>
    </row>
    <row r="17" spans="1:5" x14ac:dyDescent="0.2">
      <c r="A17" s="2" t="s">
        <v>16</v>
      </c>
      <c r="B17" s="3">
        <v>1.7000000000000001E-2</v>
      </c>
      <c r="C17" s="5">
        <f t="shared" si="0"/>
        <v>14988.560000000003</v>
      </c>
      <c r="D17" s="3">
        <f t="shared" si="1"/>
        <v>1.4959925804414803E-2</v>
      </c>
    </row>
    <row r="18" spans="1:5" x14ac:dyDescent="0.2">
      <c r="A18" s="2" t="s">
        <v>17</v>
      </c>
      <c r="B18" s="3">
        <v>1.09E-2</v>
      </c>
      <c r="C18" s="5">
        <f t="shared" si="0"/>
        <v>9610.3120000000017</v>
      </c>
      <c r="D18" s="3">
        <f t="shared" si="1"/>
        <v>9.5919524275365486E-3</v>
      </c>
    </row>
    <row r="19" spans="1:5" x14ac:dyDescent="0.2">
      <c r="A19" s="2" t="s">
        <v>18</v>
      </c>
      <c r="B19" s="3">
        <v>6.0000000000000001E-3</v>
      </c>
      <c r="C19" s="5">
        <f t="shared" si="0"/>
        <v>5290.0800000000008</v>
      </c>
      <c r="D19" s="3">
        <f t="shared" si="1"/>
        <v>5.2799738133228712E-3</v>
      </c>
    </row>
    <row r="20" spans="1:5" x14ac:dyDescent="0.2">
      <c r="A20" s="2" t="s">
        <v>19</v>
      </c>
      <c r="B20" s="3"/>
      <c r="C20" s="5">
        <v>16634.060000000001</v>
      </c>
      <c r="D20" s="3">
        <f t="shared" si="1"/>
        <v>1.6602282235664005E-2</v>
      </c>
    </row>
    <row r="21" spans="1:5" x14ac:dyDescent="0.2">
      <c r="A21" s="2" t="s">
        <v>20</v>
      </c>
      <c r="B21" s="3">
        <f>3.28%+0.65%+0.6%</f>
        <v>4.5299999999999993E-2</v>
      </c>
      <c r="C21" s="5">
        <f>B21*$E$25</f>
        <v>39940.103999999999</v>
      </c>
      <c r="D21" s="3">
        <f t="shared" si="1"/>
        <v>3.9863802290587669E-2</v>
      </c>
    </row>
    <row r="22" spans="1:5" x14ac:dyDescent="0.2">
      <c r="A22" s="2" t="s">
        <v>21</v>
      </c>
      <c r="B22" s="3">
        <v>6.1999999999999998E-3</v>
      </c>
      <c r="C22" s="5">
        <f>B22*$E$25</f>
        <v>5466.4160000000002</v>
      </c>
      <c r="D22" s="3">
        <f t="shared" si="1"/>
        <v>5.4559729404336328E-3</v>
      </c>
    </row>
    <row r="23" spans="1:5" x14ac:dyDescent="0.2">
      <c r="A23" s="2" t="s">
        <v>22</v>
      </c>
      <c r="B23" s="3">
        <v>0.10299999999999999</v>
      </c>
      <c r="C23" s="5">
        <f>B23*$E$25</f>
        <v>90813.040000000008</v>
      </c>
      <c r="D23" s="3">
        <f t="shared" si="1"/>
        <v>9.0639550462042612E-2</v>
      </c>
    </row>
    <row r="24" spans="1:5" x14ac:dyDescent="0.2">
      <c r="A24" s="2" t="s">
        <v>23</v>
      </c>
      <c r="B24" s="3"/>
      <c r="C24" s="5">
        <v>103600</v>
      </c>
      <c r="D24" s="3">
        <f t="shared" si="1"/>
        <v>0.1034020822105241</v>
      </c>
    </row>
    <row r="25" spans="1:5" x14ac:dyDescent="0.2">
      <c r="A25" s="2" t="s">
        <v>30</v>
      </c>
      <c r="B25" s="3"/>
      <c r="D25" s="3"/>
      <c r="E25" s="4">
        <f>F4*E26</f>
        <v>881680.00000000012</v>
      </c>
    </row>
    <row r="26" spans="1:5" x14ac:dyDescent="0.2">
      <c r="A26" s="2" t="s">
        <v>33</v>
      </c>
      <c r="D26" s="3"/>
      <c r="E26" s="7">
        <v>1.1021000000000001</v>
      </c>
    </row>
    <row r="27" spans="1:5" x14ac:dyDescent="0.2">
      <c r="A27" s="2" t="s">
        <v>35</v>
      </c>
      <c r="B27" s="6"/>
      <c r="E27" s="8">
        <f>E25+C20+C24</f>
        <v>1001914.0600000002</v>
      </c>
    </row>
    <row r="28" spans="1:5" x14ac:dyDescent="0.2">
      <c r="A28" s="2" t="s">
        <v>36</v>
      </c>
      <c r="E28" s="9">
        <f>E27/F2</f>
        <v>1.0930360366491292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22" sqref="A1:F28"/>
    </sheetView>
  </sheetViews>
  <sheetFormatPr baseColWidth="10" defaultColWidth="8.83203125" defaultRowHeight="15" x14ac:dyDescent="0.2"/>
  <cols>
    <col min="1" max="1" width="15.1640625" bestFit="1" customWidth="1"/>
    <col min="3" max="3" width="9.83203125" bestFit="1" customWidth="1"/>
    <col min="4" max="4" width="13" bestFit="1" customWidth="1"/>
    <col min="5" max="5" width="11.5" bestFit="1" customWidth="1"/>
    <col min="6" max="6" width="15.1640625" bestFit="1" customWidth="1"/>
  </cols>
  <sheetData>
    <row r="1" spans="1:6" x14ac:dyDescent="0.2">
      <c r="A1" s="2" t="s">
        <v>0</v>
      </c>
      <c r="B1" s="2" t="s">
        <v>39</v>
      </c>
      <c r="C1" s="2" t="s">
        <v>40</v>
      </c>
      <c r="D1" s="2" t="s">
        <v>34</v>
      </c>
      <c r="E1" s="2"/>
      <c r="F1" s="1" t="s">
        <v>24</v>
      </c>
    </row>
    <row r="2" spans="1:6" x14ac:dyDescent="0.2">
      <c r="A2" s="2" t="s">
        <v>1</v>
      </c>
      <c r="B2" s="3">
        <v>9.1999999999999998E-3</v>
      </c>
      <c r="C2" s="5">
        <f t="shared" ref="C2:C19" si="0">B2*$E$25</f>
        <v>8196.0959999999995</v>
      </c>
      <c r="D2" s="3">
        <f t="shared" ref="D2:D24" si="1">C2/($E$25+$C$24+$F$8)</f>
        <v>8.1060053699579648E-3</v>
      </c>
      <c r="F2" s="1">
        <f>F4+F6+F8</f>
        <v>916634.06</v>
      </c>
    </row>
    <row r="3" spans="1:6" x14ac:dyDescent="0.2">
      <c r="A3" s="2" t="s">
        <v>2</v>
      </c>
      <c r="B3" s="3">
        <v>6.7299999999999999E-2</v>
      </c>
      <c r="C3" s="5">
        <f t="shared" si="0"/>
        <v>59956.223999999987</v>
      </c>
      <c r="D3" s="3">
        <f t="shared" si="1"/>
        <v>5.929719145632293E-2</v>
      </c>
      <c r="F3" s="1" t="s">
        <v>25</v>
      </c>
    </row>
    <row r="4" spans="1:6" x14ac:dyDescent="0.2">
      <c r="A4" s="2" t="s">
        <v>3</v>
      </c>
      <c r="B4" s="3">
        <v>0.26119999999999999</v>
      </c>
      <c r="C4" s="5">
        <f t="shared" si="0"/>
        <v>232697.85599999997</v>
      </c>
      <c r="D4" s="3">
        <f t="shared" si="1"/>
        <v>0.23014006550358918</v>
      </c>
      <c r="F4" s="1">
        <v>800000</v>
      </c>
    </row>
    <row r="5" spans="1:6" x14ac:dyDescent="0.2">
      <c r="A5" s="2" t="s">
        <v>4</v>
      </c>
      <c r="B5" s="3">
        <v>7.1499999999999994E-2</v>
      </c>
      <c r="C5" s="5">
        <f t="shared" si="0"/>
        <v>63697.919999999984</v>
      </c>
      <c r="D5" s="3">
        <f t="shared" si="1"/>
        <v>6.2997759125216782E-2</v>
      </c>
      <c r="F5" s="1" t="s">
        <v>26</v>
      </c>
    </row>
    <row r="6" spans="1:6" x14ac:dyDescent="0.2">
      <c r="A6" s="2" t="s">
        <v>5</v>
      </c>
      <c r="B6" s="3">
        <v>4.3499999999999997E-2</v>
      </c>
      <c r="C6" s="5">
        <f t="shared" si="0"/>
        <v>38753.279999999992</v>
      </c>
      <c r="D6" s="3">
        <f t="shared" si="1"/>
        <v>3.8327307999257765E-2</v>
      </c>
      <c r="F6" s="1">
        <v>100000</v>
      </c>
    </row>
    <row r="7" spans="1:6" x14ac:dyDescent="0.2">
      <c r="A7" s="2" t="s">
        <v>6</v>
      </c>
      <c r="B7" s="3">
        <v>9.2100000000000001E-2</v>
      </c>
      <c r="C7" s="5">
        <f t="shared" si="0"/>
        <v>82050.047999999995</v>
      </c>
      <c r="D7" s="3">
        <f t="shared" si="1"/>
        <v>8.114816245360093E-2</v>
      </c>
      <c r="F7" s="1" t="s">
        <v>27</v>
      </c>
    </row>
    <row r="8" spans="1:6" x14ac:dyDescent="0.2">
      <c r="A8" s="2" t="s">
        <v>7</v>
      </c>
      <c r="B8" s="3"/>
      <c r="C8" s="5">
        <f t="shared" si="0"/>
        <v>0</v>
      </c>
      <c r="D8" s="3">
        <f t="shared" si="1"/>
        <v>0</v>
      </c>
      <c r="F8" s="1">
        <v>16634.060000000001</v>
      </c>
    </row>
    <row r="9" spans="1:6" x14ac:dyDescent="0.2">
      <c r="A9" s="2" t="s">
        <v>8</v>
      </c>
      <c r="B9" s="3">
        <v>0.11070000000000001</v>
      </c>
      <c r="C9" s="5">
        <f t="shared" si="0"/>
        <v>98620.415999999997</v>
      </c>
      <c r="D9" s="3">
        <f t="shared" si="1"/>
        <v>9.7536390701559436E-2</v>
      </c>
    </row>
    <row r="10" spans="1:6" x14ac:dyDescent="0.2">
      <c r="A10" s="2" t="s">
        <v>9</v>
      </c>
      <c r="B10" s="3">
        <v>6.5299999999999997E-2</v>
      </c>
      <c r="C10" s="5">
        <f t="shared" si="0"/>
        <v>58174.463999999993</v>
      </c>
      <c r="D10" s="3">
        <f t="shared" si="1"/>
        <v>5.7535016375897294E-2</v>
      </c>
    </row>
    <row r="11" spans="1:6" x14ac:dyDescent="0.2">
      <c r="A11" s="2" t="s">
        <v>10</v>
      </c>
      <c r="B11" s="3">
        <v>7.3599999999999999E-2</v>
      </c>
      <c r="C11" s="5">
        <f t="shared" si="0"/>
        <v>65568.767999999996</v>
      </c>
      <c r="D11" s="3">
        <f t="shared" si="1"/>
        <v>6.4848042959663718E-2</v>
      </c>
    </row>
    <row r="12" spans="1:6" x14ac:dyDescent="0.2">
      <c r="A12" s="2" t="s">
        <v>11</v>
      </c>
      <c r="B12" s="3">
        <v>1.2E-2</v>
      </c>
      <c r="C12" s="5">
        <f t="shared" si="0"/>
        <v>10690.56</v>
      </c>
      <c r="D12" s="3">
        <f t="shared" si="1"/>
        <v>1.0573050482553867E-2</v>
      </c>
    </row>
    <row r="13" spans="1:6" x14ac:dyDescent="0.2">
      <c r="A13" s="2" t="s">
        <v>12</v>
      </c>
      <c r="B13" s="3">
        <v>1.95E-2</v>
      </c>
      <c r="C13" s="5">
        <f t="shared" si="0"/>
        <v>17372.159999999996</v>
      </c>
      <c r="D13" s="3">
        <f t="shared" si="1"/>
        <v>1.718120703415003E-2</v>
      </c>
    </row>
    <row r="14" spans="1:6" x14ac:dyDescent="0.2">
      <c r="A14" s="2" t="s">
        <v>13</v>
      </c>
      <c r="B14" s="3">
        <v>3.9199999999999999E-2</v>
      </c>
      <c r="C14" s="5">
        <f t="shared" si="0"/>
        <v>34922.495999999992</v>
      </c>
      <c r="D14" s="3">
        <f t="shared" si="1"/>
        <v>3.4538631576342627E-2</v>
      </c>
    </row>
    <row r="15" spans="1:6" x14ac:dyDescent="0.2">
      <c r="A15" s="2" t="s">
        <v>14</v>
      </c>
      <c r="B15" s="3">
        <v>8.8000000000000005E-3</v>
      </c>
      <c r="C15" s="5">
        <f t="shared" si="0"/>
        <v>7839.7439999999997</v>
      </c>
      <c r="D15" s="3">
        <f t="shared" si="1"/>
        <v>7.753570353872836E-3</v>
      </c>
    </row>
    <row r="16" spans="1:6" x14ac:dyDescent="0.2">
      <c r="A16" s="2" t="s">
        <v>15</v>
      </c>
      <c r="B16" s="3">
        <v>1.8800000000000001E-2</v>
      </c>
      <c r="C16" s="5">
        <f t="shared" si="0"/>
        <v>16748.543999999998</v>
      </c>
      <c r="D16" s="3">
        <f t="shared" si="1"/>
        <v>1.6564445756001057E-2</v>
      </c>
    </row>
    <row r="17" spans="1:5" x14ac:dyDescent="0.2">
      <c r="A17" s="2" t="s">
        <v>16</v>
      </c>
      <c r="B17" s="3">
        <v>1.5900000000000001E-2</v>
      </c>
      <c r="C17" s="5">
        <f t="shared" si="0"/>
        <v>14164.991999999998</v>
      </c>
      <c r="D17" s="3">
        <f t="shared" si="1"/>
        <v>1.4009291889383874E-2</v>
      </c>
    </row>
    <row r="18" spans="1:5" x14ac:dyDescent="0.2">
      <c r="A18" s="2" t="s">
        <v>17</v>
      </c>
      <c r="B18" s="3">
        <v>1.61E-2</v>
      </c>
      <c r="C18" s="5">
        <f t="shared" si="0"/>
        <v>14343.167999999998</v>
      </c>
      <c r="D18" s="3">
        <f t="shared" si="1"/>
        <v>1.4185509397426438E-2</v>
      </c>
    </row>
    <row r="19" spans="1:5" x14ac:dyDescent="0.2">
      <c r="A19" s="2" t="s">
        <v>18</v>
      </c>
      <c r="B19" s="3">
        <v>8.3000000000000001E-3</v>
      </c>
      <c r="C19" s="5">
        <f t="shared" si="0"/>
        <v>7394.3039999999992</v>
      </c>
      <c r="D19" s="3">
        <f t="shared" si="1"/>
        <v>7.3130265837664243E-3</v>
      </c>
    </row>
    <row r="20" spans="1:5" x14ac:dyDescent="0.2">
      <c r="A20" s="2" t="s">
        <v>19</v>
      </c>
      <c r="B20" s="3"/>
      <c r="C20" s="5">
        <v>16634.060000000001</v>
      </c>
      <c r="D20" s="3">
        <f t="shared" si="1"/>
        <v>1.6451220152155735E-2</v>
      </c>
    </row>
    <row r="21" spans="1:5" x14ac:dyDescent="0.2">
      <c r="A21" s="2" t="s">
        <v>20</v>
      </c>
      <c r="B21" s="3"/>
      <c r="C21" s="5">
        <f>B21*$E$25</f>
        <v>0</v>
      </c>
      <c r="D21" s="3">
        <f t="shared" si="1"/>
        <v>0</v>
      </c>
    </row>
    <row r="22" spans="1:5" x14ac:dyDescent="0.2">
      <c r="A22" s="2" t="s">
        <v>21</v>
      </c>
      <c r="B22" s="3"/>
      <c r="C22" s="5">
        <f>B22*$E$25</f>
        <v>0</v>
      </c>
      <c r="D22" s="3">
        <f t="shared" si="1"/>
        <v>0</v>
      </c>
    </row>
    <row r="23" spans="1:5" x14ac:dyDescent="0.2">
      <c r="A23" s="2" t="s">
        <v>22</v>
      </c>
      <c r="B23" s="3">
        <v>6.7000000000000004E-2</v>
      </c>
      <c r="C23" s="5">
        <f>B23*$E$25</f>
        <v>59688.959999999999</v>
      </c>
      <c r="D23" s="3">
        <f t="shared" si="1"/>
        <v>5.9032865194259099E-2</v>
      </c>
    </row>
    <row r="24" spans="1:5" x14ac:dyDescent="0.2">
      <c r="A24" s="2" t="s">
        <v>23</v>
      </c>
      <c r="B24" s="3"/>
      <c r="C24" s="5">
        <v>103600</v>
      </c>
      <c r="D24" s="3">
        <f t="shared" si="1"/>
        <v>0.10246123963502199</v>
      </c>
    </row>
    <row r="25" spans="1:5" x14ac:dyDescent="0.2">
      <c r="A25" s="2" t="s">
        <v>41</v>
      </c>
      <c r="B25" s="3"/>
      <c r="D25" s="3"/>
      <c r="E25" s="4">
        <f>F4*E26</f>
        <v>890879.99999999988</v>
      </c>
    </row>
    <row r="26" spans="1:5" x14ac:dyDescent="0.2">
      <c r="A26" s="2" t="s">
        <v>42</v>
      </c>
      <c r="D26" s="3"/>
      <c r="E26" s="7">
        <v>1.1135999999999999</v>
      </c>
    </row>
    <row r="27" spans="1:5" x14ac:dyDescent="0.2">
      <c r="A27" s="2" t="s">
        <v>35</v>
      </c>
      <c r="B27" s="6"/>
      <c r="E27" s="8">
        <f>E25+C20+C24</f>
        <v>1011114.0599999999</v>
      </c>
    </row>
    <row r="28" spans="1:5" x14ac:dyDescent="0.2">
      <c r="A28" s="2" t="s">
        <v>36</v>
      </c>
      <c r="E28" s="9">
        <f>E27/F2</f>
        <v>1.1030727573007704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G29" sqref="G29"/>
    </sheetView>
  </sheetViews>
  <sheetFormatPr baseColWidth="10" defaultRowHeight="15" x14ac:dyDescent="0.2"/>
  <cols>
    <col min="1" max="1" width="14.33203125" bestFit="1" customWidth="1"/>
    <col min="2" max="3" width="11.5" bestFit="1" customWidth="1"/>
    <col min="4" max="4" width="12.5" bestFit="1" customWidth="1"/>
    <col min="5" max="5" width="11" bestFit="1" customWidth="1"/>
    <col min="6" max="6" width="14.33203125" bestFit="1" customWidth="1"/>
  </cols>
  <sheetData>
    <row r="1" spans="1:6" x14ac:dyDescent="0.2">
      <c r="A1" s="2" t="s">
        <v>0</v>
      </c>
      <c r="B1" s="2" t="s">
        <v>44</v>
      </c>
      <c r="C1" s="2" t="s">
        <v>45</v>
      </c>
      <c r="D1" s="2" t="s">
        <v>34</v>
      </c>
      <c r="E1" s="2"/>
      <c r="F1" s="1" t="s">
        <v>24</v>
      </c>
    </row>
    <row r="2" spans="1:6" x14ac:dyDescent="0.2">
      <c r="A2" s="2" t="s">
        <v>1</v>
      </c>
      <c r="B2" s="3">
        <f>7.08%+0.71%</f>
        <v>7.7899999999999997E-2</v>
      </c>
      <c r="C2" s="5">
        <f t="shared" ref="C2:C19" si="0">B2*$E$25</f>
        <v>75226.471999999994</v>
      </c>
      <c r="D2" s="3">
        <f t="shared" ref="D2:D24" si="1">C2/($E$25+$C$24+$F$8)</f>
        <v>6.9274793255738848E-2</v>
      </c>
      <c r="F2" s="1">
        <f>F4+F6+F8</f>
        <v>916634.06</v>
      </c>
    </row>
    <row r="3" spans="1:6" x14ac:dyDescent="0.2">
      <c r="A3" s="2" t="s">
        <v>2</v>
      </c>
      <c r="B3" s="3">
        <f>5.44%</f>
        <v>5.4400000000000004E-2</v>
      </c>
      <c r="C3" s="5">
        <f t="shared" si="0"/>
        <v>52532.992000000006</v>
      </c>
      <c r="D3" s="3">
        <f t="shared" si="1"/>
        <v>4.8376749077178358E-2</v>
      </c>
      <c r="F3" s="1" t="s">
        <v>25</v>
      </c>
    </row>
    <row r="4" spans="1:6" x14ac:dyDescent="0.2">
      <c r="A4" s="2" t="s">
        <v>3</v>
      </c>
      <c r="B4" s="3">
        <v>0.15790000000000001</v>
      </c>
      <c r="C4" s="5">
        <f t="shared" si="0"/>
        <v>152480.872</v>
      </c>
      <c r="D4" s="3">
        <f t="shared" si="1"/>
        <v>0.14041707131041289</v>
      </c>
      <c r="F4" s="1">
        <v>800000</v>
      </c>
    </row>
    <row r="5" spans="1:6" x14ac:dyDescent="0.2">
      <c r="A5" s="2" t="s">
        <v>4</v>
      </c>
      <c r="B5" s="3">
        <v>0</v>
      </c>
      <c r="C5" s="5">
        <f t="shared" si="0"/>
        <v>0</v>
      </c>
      <c r="D5" s="3">
        <f t="shared" si="1"/>
        <v>0</v>
      </c>
      <c r="F5" s="1" t="s">
        <v>26</v>
      </c>
    </row>
    <row r="6" spans="1:6" x14ac:dyDescent="0.2">
      <c r="A6" s="2" t="s">
        <v>5</v>
      </c>
      <c r="B6" s="3">
        <v>2.9000000000000001E-2</v>
      </c>
      <c r="C6" s="5">
        <f t="shared" si="0"/>
        <v>28004.720000000001</v>
      </c>
      <c r="D6" s="3">
        <f t="shared" si="1"/>
        <v>2.5789075794819344E-2</v>
      </c>
      <c r="F6" s="1">
        <v>100000</v>
      </c>
    </row>
    <row r="7" spans="1:6" x14ac:dyDescent="0.2">
      <c r="A7" s="2" t="s">
        <v>6</v>
      </c>
      <c r="B7" s="3">
        <v>9.3799999999999994E-2</v>
      </c>
      <c r="C7" s="5">
        <f t="shared" si="0"/>
        <v>90580.784</v>
      </c>
      <c r="D7" s="3">
        <f t="shared" si="1"/>
        <v>8.3414321019105314E-2</v>
      </c>
      <c r="F7" s="1" t="s">
        <v>27</v>
      </c>
    </row>
    <row r="8" spans="1:6" x14ac:dyDescent="0.2">
      <c r="A8" s="2" t="s">
        <v>7</v>
      </c>
      <c r="B8" s="3">
        <v>7.4399999999999994E-2</v>
      </c>
      <c r="C8" s="5">
        <f t="shared" si="0"/>
        <v>71846.59199999999</v>
      </c>
      <c r="D8" s="3">
        <f t="shared" si="1"/>
        <v>6.6162318590846855E-2</v>
      </c>
      <c r="F8" s="1">
        <v>16634.060000000001</v>
      </c>
    </row>
    <row r="9" spans="1:6" x14ac:dyDescent="0.2">
      <c r="A9" s="2" t="s">
        <v>8</v>
      </c>
      <c r="B9" s="3">
        <v>6.7799999999999999E-2</v>
      </c>
      <c r="C9" s="5">
        <f t="shared" si="0"/>
        <v>65473.103999999999</v>
      </c>
      <c r="D9" s="3">
        <f t="shared" si="1"/>
        <v>6.0293080651336255E-2</v>
      </c>
    </row>
    <row r="10" spans="1:6" x14ac:dyDescent="0.2">
      <c r="A10" s="2" t="s">
        <v>9</v>
      </c>
      <c r="B10" s="3">
        <v>3.2300000000000002E-2</v>
      </c>
      <c r="C10" s="5">
        <f t="shared" si="0"/>
        <v>31191.464000000004</v>
      </c>
      <c r="D10" s="3">
        <f t="shared" si="1"/>
        <v>2.8723694764574651E-2</v>
      </c>
    </row>
    <row r="11" spans="1:6" x14ac:dyDescent="0.2">
      <c r="A11" s="2" t="s">
        <v>10</v>
      </c>
      <c r="B11" s="3">
        <v>5.6399999999999999E-2</v>
      </c>
      <c r="C11" s="5">
        <f t="shared" si="0"/>
        <v>54464.351999999999</v>
      </c>
      <c r="D11" s="3">
        <f t="shared" si="1"/>
        <v>5.0155306028545205E-2</v>
      </c>
    </row>
    <row r="12" spans="1:6" x14ac:dyDescent="0.2">
      <c r="A12" s="2" t="s">
        <v>11</v>
      </c>
      <c r="B12" s="3">
        <v>7.7999999999999996E-3</v>
      </c>
      <c r="C12" s="5">
        <f t="shared" si="0"/>
        <v>7532.3040000000001</v>
      </c>
      <c r="D12" s="3">
        <f t="shared" si="1"/>
        <v>6.9363721103307199E-3</v>
      </c>
    </row>
    <row r="13" spans="1:6" x14ac:dyDescent="0.2">
      <c r="A13" s="2" t="s">
        <v>12</v>
      </c>
      <c r="B13" s="3">
        <v>2.0199999999999999E-2</v>
      </c>
      <c r="C13" s="5">
        <f t="shared" si="0"/>
        <v>19506.736000000001</v>
      </c>
      <c r="D13" s="3">
        <f t="shared" si="1"/>
        <v>1.7963425208805197E-2</v>
      </c>
    </row>
    <row r="14" spans="1:6" x14ac:dyDescent="0.2">
      <c r="A14" s="2" t="s">
        <v>13</v>
      </c>
      <c r="B14" s="3">
        <v>2.7699999999999999E-2</v>
      </c>
      <c r="C14" s="5">
        <f t="shared" si="0"/>
        <v>26749.335999999999</v>
      </c>
      <c r="D14" s="3">
        <f t="shared" si="1"/>
        <v>2.4633013776430887E-2</v>
      </c>
    </row>
    <row r="15" spans="1:6" x14ac:dyDescent="0.2">
      <c r="A15" s="2" t="s">
        <v>14</v>
      </c>
      <c r="B15" s="3">
        <v>7.4300000000000005E-2</v>
      </c>
      <c r="C15" s="5">
        <f t="shared" si="0"/>
        <v>71750.024000000005</v>
      </c>
      <c r="D15" s="3">
        <f t="shared" si="1"/>
        <v>6.6073390743278532E-2</v>
      </c>
    </row>
    <row r="16" spans="1:6" x14ac:dyDescent="0.2">
      <c r="A16" s="2" t="s">
        <v>15</v>
      </c>
      <c r="B16" s="3">
        <v>1.18E-2</v>
      </c>
      <c r="C16" s="5">
        <f t="shared" si="0"/>
        <v>11395.023999999999</v>
      </c>
      <c r="D16" s="3">
        <f t="shared" si="1"/>
        <v>1.0493486013064421E-2</v>
      </c>
    </row>
    <row r="17" spans="1:5" x14ac:dyDescent="0.2">
      <c r="A17" s="2" t="s">
        <v>16</v>
      </c>
      <c r="B17" s="3">
        <v>2.46E-2</v>
      </c>
      <c r="C17" s="5">
        <f>B17*$E$25</f>
        <v>23755.727999999999</v>
      </c>
      <c r="D17" s="3">
        <f t="shared" si="1"/>
        <v>2.1876250501812269E-2</v>
      </c>
    </row>
    <row r="18" spans="1:5" x14ac:dyDescent="0.2">
      <c r="A18" s="2" t="s">
        <v>17</v>
      </c>
      <c r="B18" s="3">
        <v>1.8700000000000001E-2</v>
      </c>
      <c r="C18" s="5">
        <f t="shared" si="0"/>
        <v>18058.216</v>
      </c>
      <c r="D18" s="3">
        <f t="shared" si="1"/>
        <v>1.6629507495280058E-2</v>
      </c>
    </row>
    <row r="19" spans="1:5" x14ac:dyDescent="0.2">
      <c r="A19" s="2" t="s">
        <v>18</v>
      </c>
      <c r="B19" s="3">
        <v>5.4000000000000003E-3</v>
      </c>
      <c r="C19" s="5">
        <f t="shared" si="0"/>
        <v>5214.6720000000005</v>
      </c>
      <c r="D19" s="3">
        <f t="shared" si="1"/>
        <v>4.8021037686904987E-3</v>
      </c>
    </row>
    <row r="20" spans="1:5" x14ac:dyDescent="0.2">
      <c r="A20" s="2" t="s">
        <v>19</v>
      </c>
      <c r="B20" s="3"/>
      <c r="C20" s="5">
        <v>16634.060000000001</v>
      </c>
      <c r="D20" s="3">
        <f t="shared" si="1"/>
        <v>1.5318026179714443E-2</v>
      </c>
    </row>
    <row r="21" spans="1:5" x14ac:dyDescent="0.2">
      <c r="A21" s="2" t="s">
        <v>20</v>
      </c>
      <c r="B21" s="3">
        <f>3.32%+3.09%</f>
        <v>6.409999999999999E-2</v>
      </c>
      <c r="C21" s="5">
        <f>B21*$E$25</f>
        <v>61900.087999999989</v>
      </c>
      <c r="D21" s="3">
        <f t="shared" si="1"/>
        <v>5.7002750291307566E-2</v>
      </c>
    </row>
    <row r="22" spans="1:5" x14ac:dyDescent="0.2">
      <c r="A22" s="2" t="s">
        <v>21</v>
      </c>
      <c r="B22" s="3">
        <v>6.1000000000000004E-3</v>
      </c>
      <c r="C22" s="5">
        <f>B22*$E$25</f>
        <v>5890.6480000000001</v>
      </c>
      <c r="D22" s="3">
        <f t="shared" si="1"/>
        <v>5.4245987016688958E-3</v>
      </c>
    </row>
    <row r="23" spans="1:5" x14ac:dyDescent="0.2">
      <c r="A23" s="2" t="s">
        <v>22</v>
      </c>
      <c r="B23" s="3">
        <v>9.5399999999999999E-2</v>
      </c>
      <c r="C23" s="5">
        <f>B23*$E$25</f>
        <v>92125.872000000003</v>
      </c>
      <c r="D23" s="3">
        <f t="shared" si="1"/>
        <v>8.4837166580198797E-2</v>
      </c>
    </row>
    <row r="24" spans="1:5" x14ac:dyDescent="0.2">
      <c r="A24" s="2" t="s">
        <v>23</v>
      </c>
      <c r="B24" s="3"/>
      <c r="C24" s="5">
        <v>103600</v>
      </c>
      <c r="D24" s="3">
        <f t="shared" si="1"/>
        <v>9.5403498136859929E-2</v>
      </c>
    </row>
    <row r="25" spans="1:5" x14ac:dyDescent="0.2">
      <c r="A25" s="2" t="s">
        <v>46</v>
      </c>
      <c r="B25" s="3"/>
      <c r="D25" s="3"/>
      <c r="E25" s="4">
        <f>F4*E26</f>
        <v>965680</v>
      </c>
    </row>
    <row r="26" spans="1:5" x14ac:dyDescent="0.2">
      <c r="A26" s="2" t="s">
        <v>47</v>
      </c>
      <c r="D26" s="3"/>
      <c r="E26" s="7">
        <v>1.2071000000000001</v>
      </c>
    </row>
    <row r="27" spans="1:5" x14ac:dyDescent="0.2">
      <c r="A27" s="2" t="s">
        <v>35</v>
      </c>
      <c r="B27" s="6"/>
      <c r="E27" s="8">
        <f>E25+C20+C24</f>
        <v>1085914.06</v>
      </c>
    </row>
    <row r="28" spans="1:5" x14ac:dyDescent="0.2">
      <c r="A28" s="2" t="s">
        <v>36</v>
      </c>
      <c r="E28" s="9">
        <f>E27/F2</f>
        <v>1.1846756599902037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30" zoomScaleNormal="130" zoomScalePageLayoutView="130" workbookViewId="0">
      <selection activeCell="E24" sqref="E24"/>
    </sheetView>
  </sheetViews>
  <sheetFormatPr baseColWidth="10" defaultColWidth="8.83203125" defaultRowHeight="15" x14ac:dyDescent="0.2"/>
  <cols>
    <col min="1" max="1" width="11" bestFit="1" customWidth="1"/>
    <col min="5" max="5" width="11.5" bestFit="1" customWidth="1"/>
  </cols>
  <sheetData>
    <row r="1" spans="1:5" x14ac:dyDescent="0.2">
      <c r="A1" s="2" t="s">
        <v>0</v>
      </c>
      <c r="B1" s="2" t="s">
        <v>28</v>
      </c>
      <c r="C1" s="2" t="s">
        <v>38</v>
      </c>
      <c r="D1" s="2" t="s">
        <v>29</v>
      </c>
      <c r="E1" s="2" t="s">
        <v>43</v>
      </c>
    </row>
    <row r="2" spans="1:5" x14ac:dyDescent="0.2">
      <c r="A2" s="2" t="s">
        <v>1</v>
      </c>
      <c r="B2" s="3">
        <v>6.247969012432064E-3</v>
      </c>
      <c r="C2" s="3">
        <f t="shared" ref="C2:C24" si="0">B2/($E$25+$C$24+$F$8)</f>
        <v>6.0978854391065394E-2</v>
      </c>
      <c r="D2" s="3">
        <v>7.7600958260018154E-3</v>
      </c>
      <c r="E2" s="3">
        <v>6.9274793255738848E-2</v>
      </c>
    </row>
    <row r="3" spans="1:5" x14ac:dyDescent="0.2">
      <c r="A3" s="2" t="s">
        <v>2</v>
      </c>
      <c r="B3" s="3">
        <v>4.1359794871029157E-2</v>
      </c>
      <c r="C3" s="3">
        <f t="shared" si="0"/>
        <v>0.40366283892677091</v>
      </c>
      <c r="D3" s="3">
        <v>5.2275371830770384E-2</v>
      </c>
      <c r="E3" s="3">
        <v>4.8376749077178358E-2</v>
      </c>
    </row>
    <row r="4" spans="1:5" x14ac:dyDescent="0.2">
      <c r="A4" s="2" t="s">
        <v>3</v>
      </c>
      <c r="B4" s="3">
        <v>0.23346284211242629</v>
      </c>
      <c r="C4" s="3">
        <f t="shared" si="0"/>
        <v>2.2785478971760069</v>
      </c>
      <c r="D4" s="3">
        <v>0.19196293281744362</v>
      </c>
      <c r="E4" s="3">
        <v>0.14041707131041289</v>
      </c>
    </row>
    <row r="5" spans="1:5" x14ac:dyDescent="0.2">
      <c r="A5" s="2" t="s">
        <v>4</v>
      </c>
      <c r="B5" s="3">
        <v>6.0631699289657635E-2</v>
      </c>
      <c r="C5" s="3">
        <f t="shared" si="0"/>
        <v>0.59175254472456418</v>
      </c>
      <c r="D5" s="3">
        <v>3.9566431373305767E-2</v>
      </c>
      <c r="E5" s="3">
        <v>0</v>
      </c>
    </row>
    <row r="6" spans="1:5" x14ac:dyDescent="0.2">
      <c r="A6" s="2" t="s">
        <v>5</v>
      </c>
      <c r="B6" s="3">
        <v>1.935990398218386E-2</v>
      </c>
      <c r="C6" s="3">
        <f t="shared" si="0"/>
        <v>0.18894856290189277</v>
      </c>
      <c r="D6" s="3">
        <v>2.3968775722744012E-2</v>
      </c>
      <c r="E6" s="3">
        <v>2.5789075794819344E-2</v>
      </c>
    </row>
    <row r="7" spans="1:5" x14ac:dyDescent="0.2">
      <c r="A7" s="2" t="s">
        <v>6</v>
      </c>
      <c r="B7" s="3">
        <v>7.8583610254955402E-2</v>
      </c>
      <c r="C7" s="3">
        <f t="shared" si="0"/>
        <v>0.76695939396086477</v>
      </c>
      <c r="D7" s="3">
        <v>7.6676142983394008E-2</v>
      </c>
      <c r="E7" s="3">
        <v>8.3414321019105314E-2</v>
      </c>
    </row>
    <row r="8" spans="1:5" x14ac:dyDescent="0.2">
      <c r="A8" s="2" t="s">
        <v>7</v>
      </c>
      <c r="B8" s="3">
        <v>6.5647674412314366E-2</v>
      </c>
      <c r="C8" s="3">
        <f t="shared" si="0"/>
        <v>0.64070739965823642</v>
      </c>
      <c r="D8" s="3">
        <v>6.5210295796365378E-2</v>
      </c>
      <c r="E8" s="3">
        <v>6.6162318590846855E-2</v>
      </c>
    </row>
    <row r="9" spans="1:5" x14ac:dyDescent="0.2">
      <c r="A9" s="2" t="s">
        <v>8</v>
      </c>
      <c r="B9" s="3">
        <v>6.1335695798100678E-2</v>
      </c>
      <c r="C9" s="3">
        <f t="shared" si="0"/>
        <v>0.59862340155736016</v>
      </c>
      <c r="D9" s="3">
        <v>5.3433519423410285E-2</v>
      </c>
      <c r="E9" s="3">
        <v>6.0293080651336255E-2</v>
      </c>
    </row>
    <row r="10" spans="1:5" x14ac:dyDescent="0.2">
      <c r="A10" s="2" t="s">
        <v>9</v>
      </c>
      <c r="B10" s="3">
        <v>2.4815876922617493E-2</v>
      </c>
      <c r="C10" s="3">
        <f t="shared" si="0"/>
        <v>0.24219770335606255</v>
      </c>
      <c r="D10" s="3">
        <v>3.1054181482929741E-2</v>
      </c>
      <c r="E10" s="3">
        <v>2.8723694764574651E-2</v>
      </c>
    </row>
    <row r="11" spans="1:5" x14ac:dyDescent="0.2">
      <c r="A11" s="2" t="s">
        <v>10</v>
      </c>
      <c r="B11" s="3">
        <v>5.3855732895893293E-2</v>
      </c>
      <c r="C11" s="3">
        <f t="shared" si="0"/>
        <v>0.52562054770890176</v>
      </c>
      <c r="D11" s="3">
        <v>4.7412965124601955E-2</v>
      </c>
      <c r="E11" s="3">
        <v>5.0155306028545205E-2</v>
      </c>
    </row>
    <row r="12" spans="1:5" x14ac:dyDescent="0.2">
      <c r="A12" s="2" t="s">
        <v>11</v>
      </c>
      <c r="B12" s="3">
        <v>6.6879668302089702E-3</v>
      </c>
      <c r="C12" s="3">
        <f t="shared" si="0"/>
        <v>6.5273139911562958E-2</v>
      </c>
      <c r="D12" s="3">
        <v>9.2501867200234424E-3</v>
      </c>
      <c r="E12" s="3">
        <v>6.9363721103307199E-3</v>
      </c>
    </row>
    <row r="13" spans="1:5" x14ac:dyDescent="0.2">
      <c r="A13" s="2" t="s">
        <v>12</v>
      </c>
      <c r="B13" s="3">
        <v>1.8919906164406954E-2</v>
      </c>
      <c r="C13" s="3">
        <f t="shared" si="0"/>
        <v>0.1846542773813952</v>
      </c>
      <c r="D13" s="3">
        <v>2.3433273509199267E-2</v>
      </c>
      <c r="E13" s="3">
        <v>1.7963425208805197E-2</v>
      </c>
    </row>
    <row r="14" spans="1:5" x14ac:dyDescent="0.2">
      <c r="A14" s="2" t="s">
        <v>13</v>
      </c>
      <c r="B14" s="3">
        <v>2.6839866884391259E-2</v>
      </c>
      <c r="C14" s="3">
        <f t="shared" si="0"/>
        <v>0.26195141675035133</v>
      </c>
      <c r="D14" s="3">
        <v>3.5227057415285472E-2</v>
      </c>
      <c r="E14" s="3">
        <v>2.4633013776430887E-2</v>
      </c>
    </row>
    <row r="15" spans="1:5" x14ac:dyDescent="0.2">
      <c r="A15" s="2" t="s">
        <v>14</v>
      </c>
      <c r="B15" s="3">
        <v>5.2799738133228712E-3</v>
      </c>
      <c r="C15" s="3">
        <f t="shared" si="0"/>
        <v>5.1531426245970756E-2</v>
      </c>
      <c r="D15" s="3">
        <v>6.957011150093749E-3</v>
      </c>
      <c r="E15" s="3">
        <v>6.6073390743278532E-2</v>
      </c>
    </row>
    <row r="16" spans="1:5" x14ac:dyDescent="0.2">
      <c r="A16" s="2" t="s">
        <v>15</v>
      </c>
      <c r="B16" s="3">
        <v>1.1175944571533409E-2</v>
      </c>
      <c r="C16" s="3">
        <f t="shared" si="0"/>
        <v>0.10907485222063809</v>
      </c>
      <c r="D16" s="3">
        <v>1.4003608254450848E-2</v>
      </c>
      <c r="E16" s="3">
        <v>1.0493486013064421E-2</v>
      </c>
    </row>
    <row r="17" spans="1:5" x14ac:dyDescent="0.2">
      <c r="A17" s="2" t="s">
        <v>16</v>
      </c>
      <c r="B17" s="3">
        <v>1.4959925804414803E-2</v>
      </c>
      <c r="C17" s="3">
        <f t="shared" si="0"/>
        <v>0.14600570769691715</v>
      </c>
      <c r="D17" s="3">
        <v>1.6145760200855695E-2</v>
      </c>
      <c r="E17" s="3">
        <v>2.1876250501812269E-2</v>
      </c>
    </row>
    <row r="18" spans="1:5" x14ac:dyDescent="0.2">
      <c r="A18" s="2" t="s">
        <v>17</v>
      </c>
      <c r="B18" s="3">
        <v>9.5919524275365486E-3</v>
      </c>
      <c r="C18" s="3">
        <f t="shared" si="0"/>
        <v>9.3615424346846873E-2</v>
      </c>
      <c r="D18" s="3">
        <v>1.2778350407881323E-2</v>
      </c>
      <c r="E18" s="3">
        <v>1.6629507495280058E-2</v>
      </c>
    </row>
    <row r="19" spans="1:5" x14ac:dyDescent="0.2">
      <c r="A19" s="2" t="s">
        <v>18</v>
      </c>
      <c r="B19" s="3">
        <v>5.2799738133228712E-3</v>
      </c>
      <c r="C19" s="3">
        <f t="shared" si="0"/>
        <v>5.1531426245970756E-2</v>
      </c>
      <c r="D19" s="3">
        <v>6.8855979085149666E-3</v>
      </c>
      <c r="E19" s="3">
        <v>4.8021037686904987E-3</v>
      </c>
    </row>
    <row r="20" spans="1:5" x14ac:dyDescent="0.2">
      <c r="A20" s="2" t="s">
        <v>19</v>
      </c>
      <c r="B20" s="3">
        <v>1.6602282235664005E-2</v>
      </c>
      <c r="C20" s="3">
        <f t="shared" si="0"/>
        <v>0.16203475865413233</v>
      </c>
      <c r="D20" s="3">
        <v>1.6983227894463923E-2</v>
      </c>
      <c r="E20" s="3">
        <v>1.5318026179714443E-2</v>
      </c>
    </row>
    <row r="21" spans="1:5" x14ac:dyDescent="0.2">
      <c r="A21" s="2" t="s">
        <v>20</v>
      </c>
      <c r="B21" s="3">
        <v>3.9863802290587669E-2</v>
      </c>
      <c r="C21" s="3">
        <f t="shared" si="0"/>
        <v>0.38906226815707912</v>
      </c>
      <c r="D21" s="3">
        <v>5.1327283625696982E-2</v>
      </c>
      <c r="E21" s="3">
        <v>5.7002750291307566E-2</v>
      </c>
    </row>
    <row r="22" spans="1:5" x14ac:dyDescent="0.2">
      <c r="A22" s="2" t="s">
        <v>21</v>
      </c>
      <c r="B22" s="3">
        <v>5.4559729404336328E-3</v>
      </c>
      <c r="C22" s="3">
        <f t="shared" si="0"/>
        <v>5.3249140454169772E-2</v>
      </c>
      <c r="D22" s="3">
        <v>7.1379410488239051E-3</v>
      </c>
      <c r="E22" s="3">
        <v>5.4245987016688958E-3</v>
      </c>
    </row>
    <row r="23" spans="1:5" x14ac:dyDescent="0.2">
      <c r="A23" s="2" t="s">
        <v>22</v>
      </c>
      <c r="B23" s="3">
        <v>9.0639550462042612E-2</v>
      </c>
      <c r="C23" s="3">
        <f t="shared" si="0"/>
        <v>0.88462281722249791</v>
      </c>
      <c r="D23" s="3">
        <v>0.10466174234531715</v>
      </c>
      <c r="E23" s="3">
        <v>8.4837166580198797E-2</v>
      </c>
    </row>
    <row r="24" spans="1:5" x14ac:dyDescent="0.2">
      <c r="A24" s="2" t="s">
        <v>23</v>
      </c>
      <c r="B24" s="3">
        <v>0.1034020822105241</v>
      </c>
      <c r="C24" s="3">
        <v>0.10246123963502199</v>
      </c>
      <c r="D24" s="3">
        <v>0.10588824713842634</v>
      </c>
      <c r="E24" s="3">
        <v>9.5403498136859929E-2</v>
      </c>
    </row>
    <row r="25" spans="1:5" x14ac:dyDescent="0.2">
      <c r="A25" s="2"/>
      <c r="B25" s="2"/>
      <c r="C25" s="2"/>
      <c r="D25" s="3"/>
    </row>
    <row r="26" spans="1:5" x14ac:dyDescent="0.2">
      <c r="A26" s="2" t="s">
        <v>37</v>
      </c>
      <c r="B26" s="10">
        <v>1.0930360366491292</v>
      </c>
      <c r="C26" s="12">
        <v>1.1031</v>
      </c>
      <c r="D26" s="11">
        <v>1.0673999999999999</v>
      </c>
      <c r="E26" s="7">
        <v>1.2071000000000001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且慢组合</vt:lpstr>
      <vt:lpstr>雪球组合</vt:lpstr>
      <vt:lpstr>ETF计划</vt:lpstr>
      <vt:lpstr>模拟组合与实盘对比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2019-03-19T13:04:56Z</dcterms:created>
  <dcterms:modified xsi:type="dcterms:W3CDTF">2019-03-20T11:24:35Z</dcterms:modified>
</cp:coreProperties>
</file>