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43"/>
  <workbookPr/>
  <mc:AlternateContent xmlns:mc="http://schemas.openxmlformats.org/markup-compatibility/2006">
    <mc:Choice Requires="x15">
      <x15ac:absPath xmlns:x15ac="http://schemas.microsoft.com/office/spreadsheetml/2010/11/ac" url="D:\github\finance-data\Portfolio\"/>
    </mc:Choice>
  </mc:AlternateContent>
  <xr:revisionPtr revIDLastSave="0" documentId="13_ncr:1_{A88894B5-6385-45EF-98BE-3B67CCE81010}" xr6:coauthVersionLast="36" xr6:coauthVersionMax="36" xr10:uidLastSave="{00000000-0000-0000-0000-000000000000}"/>
  <bookViews>
    <workbookView xWindow="28800" yWindow="-8865" windowWidth="21600" windowHeight="37935" tabRatio="711" xr2:uid="{00000000-000D-0000-FFFF-FFFF00000000}"/>
  </bookViews>
  <sheets>
    <sheet name="资产配置情况" sheetId="11" r:id="rId1"/>
    <sheet name="资产配置旭日图" sheetId="13" r:id="rId2"/>
  </sheets>
  <definedNames>
    <definedName name="_xlchart.v1.0" hidden="1">资产配置情况!$A$2:$D$33</definedName>
    <definedName name="_xlchart.v1.1" hidden="1">资产配置情况!$E$1</definedName>
    <definedName name="_xlchart.v1.2" hidden="1">资产配置情况!$E$2:$E$33</definedName>
  </definedNames>
  <calcPr calcId="191029"/>
</workbook>
</file>

<file path=xl/calcChain.xml><?xml version="1.0" encoding="utf-8"?>
<calcChain xmlns="http://schemas.openxmlformats.org/spreadsheetml/2006/main">
  <c r="L17" i="11" l="1"/>
  <c r="L16" i="11"/>
  <c r="L15" i="11"/>
  <c r="L4" i="11"/>
  <c r="L2" i="11"/>
  <c r="B17" i="11" l="1"/>
  <c r="C24" i="11"/>
  <c r="C22" i="11"/>
  <c r="C21" i="11"/>
  <c r="C20" i="11"/>
  <c r="C19" i="11"/>
  <c r="C18" i="11"/>
  <c r="C17" i="11"/>
  <c r="K2" i="11"/>
  <c r="K6" i="11"/>
  <c r="K8" i="11"/>
  <c r="I23" i="11"/>
  <c r="I22" i="11"/>
  <c r="I20" i="11"/>
  <c r="I19" i="11"/>
  <c r="I18" i="11"/>
  <c r="I17" i="11"/>
  <c r="H24" i="11"/>
  <c r="H23" i="11"/>
  <c r="H22" i="11"/>
  <c r="H21" i="11"/>
  <c r="H20" i="11"/>
  <c r="H19" i="11"/>
  <c r="H18" i="11"/>
  <c r="H17" i="11"/>
  <c r="L8" i="11"/>
  <c r="L6" i="11"/>
  <c r="F3" i="11" l="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2" i="11"/>
  <c r="F34" i="11" l="1"/>
  <c r="E22" i="11" l="1"/>
  <c r="E19" i="11"/>
  <c r="E24" i="11"/>
  <c r="E18" i="11"/>
  <c r="E20" i="11"/>
  <c r="E21" i="11"/>
  <c r="E17" i="11"/>
  <c r="E23" i="11"/>
  <c r="E3" i="11"/>
  <c r="E6" i="11"/>
  <c r="C6" i="11" s="1"/>
  <c r="E10" i="11"/>
  <c r="E13" i="11"/>
  <c r="E16" i="11"/>
  <c r="C16" i="11" s="1"/>
  <c r="E28" i="11"/>
  <c r="E31" i="11"/>
  <c r="E7" i="11"/>
  <c r="E11" i="11"/>
  <c r="E25" i="11"/>
  <c r="E29" i="11"/>
  <c r="E4" i="11"/>
  <c r="E8" i="11"/>
  <c r="E14" i="11"/>
  <c r="C14" i="11" s="1"/>
  <c r="E32" i="11"/>
  <c r="E26" i="11"/>
  <c r="E5" i="11"/>
  <c r="E9" i="11"/>
  <c r="E12" i="11"/>
  <c r="C12" i="11" s="1"/>
  <c r="E15" i="11"/>
  <c r="C15" i="11" s="1"/>
  <c r="E27" i="11"/>
  <c r="E30" i="11"/>
  <c r="E33" i="11"/>
  <c r="E2" i="11"/>
  <c r="A2" i="11" l="1"/>
  <c r="C13" i="11"/>
  <c r="C26" i="11"/>
  <c r="B26" i="11"/>
  <c r="C29" i="11"/>
  <c r="B29" i="11"/>
  <c r="A30" i="11"/>
  <c r="B30" i="11"/>
  <c r="C30" i="11"/>
  <c r="C9" i="11"/>
  <c r="B9" i="11"/>
  <c r="C25" i="11"/>
  <c r="A25" i="11"/>
  <c r="B25" i="11"/>
  <c r="B10" i="11"/>
  <c r="C10" i="11"/>
  <c r="C2" i="11"/>
  <c r="B2" i="11"/>
  <c r="C27" i="11"/>
  <c r="B27" i="11"/>
  <c r="A27" i="11"/>
  <c r="C11" i="11"/>
  <c r="B28" i="11"/>
  <c r="A28" i="11"/>
  <c r="C28" i="11"/>
  <c r="B4" i="11"/>
  <c r="C4" i="11"/>
  <c r="C7" i="11"/>
  <c r="C3" i="11"/>
  <c r="C33" i="11"/>
  <c r="B33" i="11"/>
  <c r="A33" i="11"/>
  <c r="E34" i="11"/>
  <c r="E35" i="11"/>
</calcChain>
</file>

<file path=xl/sharedStrings.xml><?xml version="1.0" encoding="utf-8"?>
<sst xmlns="http://schemas.openxmlformats.org/spreadsheetml/2006/main" count="60" uniqueCount="58">
  <si>
    <t>大类目</t>
    <rPh sb="0" eb="1">
      <t>da'lei'm</t>
    </rPh>
    <phoneticPr fontId="2" type="noConversion"/>
  </si>
  <si>
    <t>二级类目</t>
    <rPh sb="0" eb="1">
      <t>er'ji</t>
    </rPh>
    <rPh sb="2" eb="3">
      <t>lei'mu</t>
    </rPh>
    <phoneticPr fontId="2" type="noConversion"/>
  </si>
  <si>
    <t>品种</t>
    <rPh sb="0" eb="1">
      <t>pin'z</t>
    </rPh>
    <rPh sb="1" eb="2">
      <t>zhong</t>
    </rPh>
    <phoneticPr fontId="2" type="noConversion"/>
  </si>
  <si>
    <t>天天基金</t>
    <rPh sb="0" eb="1">
      <t>tian't'j'j</t>
    </rPh>
    <phoneticPr fontId="2" type="noConversion"/>
  </si>
  <si>
    <t>总市值</t>
    <rPh sb="0" eb="1">
      <t>zong'shi'zhi</t>
    </rPh>
    <phoneticPr fontId="2" type="noConversion"/>
  </si>
  <si>
    <t>总收益率</t>
    <rPh sb="0" eb="1">
      <t>zong</t>
    </rPh>
    <rPh sb="1" eb="2">
      <t>shou'yi'l</t>
    </rPh>
    <phoneticPr fontId="2" type="noConversion"/>
  </si>
  <si>
    <t>市值占比</t>
    <rPh sb="0" eb="1">
      <t>zui'x</t>
    </rPh>
    <rPh sb="2" eb="3">
      <t>zhan'bi</t>
    </rPh>
    <phoneticPr fontId="2" type="noConversion"/>
  </si>
  <si>
    <t>广发医药</t>
    <phoneticPr fontId="2" type="noConversion"/>
  </si>
  <si>
    <t>基金</t>
    <phoneticPr fontId="2" type="noConversion"/>
  </si>
  <si>
    <t>易方达创业板</t>
    <phoneticPr fontId="2" type="noConversion"/>
  </si>
  <si>
    <t>富国中证红利</t>
    <phoneticPr fontId="2" type="noConversion"/>
  </si>
  <si>
    <t>广发养老</t>
    <phoneticPr fontId="2" type="noConversion"/>
  </si>
  <si>
    <t>易方达消费</t>
    <phoneticPr fontId="2" type="noConversion"/>
  </si>
  <si>
    <t>广发金融地产</t>
    <phoneticPr fontId="2" type="noConversion"/>
  </si>
  <si>
    <t>华夏恒生</t>
    <phoneticPr fontId="2" type="noConversion"/>
  </si>
  <si>
    <t>交银海外互联网</t>
    <phoneticPr fontId="2" type="noConversion"/>
  </si>
  <si>
    <t>华安德国</t>
    <phoneticPr fontId="2" type="noConversion"/>
  </si>
  <si>
    <t>华宝油气</t>
    <phoneticPr fontId="2" type="noConversion"/>
  </si>
  <si>
    <t>兴全可转债</t>
    <phoneticPr fontId="2" type="noConversion"/>
  </si>
  <si>
    <t>长信可转债</t>
    <phoneticPr fontId="2" type="noConversion"/>
  </si>
  <si>
    <t>易方达安心债</t>
    <phoneticPr fontId="2" type="noConversion"/>
  </si>
  <si>
    <t>南方天天利</t>
    <phoneticPr fontId="2" type="noConversion"/>
  </si>
  <si>
    <t>华夏上证50</t>
    <phoneticPr fontId="2" type="noConversion"/>
  </si>
  <si>
    <t>养老金计划本金</t>
    <rPh sb="0" eb="1">
      <t>di'san'ci</t>
    </rPh>
    <rPh sb="2" eb="3">
      <t>lun</t>
    </rPh>
    <rPh sb="3" eb="4">
      <t>ji'h</t>
    </rPh>
    <phoneticPr fontId="2" type="noConversion"/>
  </si>
  <si>
    <t>富国沪深300</t>
    <phoneticPr fontId="2" type="noConversion"/>
  </si>
  <si>
    <t>广发中证500</t>
    <phoneticPr fontId="2" type="noConversion"/>
  </si>
  <si>
    <t>富国中证500</t>
    <phoneticPr fontId="2" type="noConversion"/>
  </si>
  <si>
    <t>华宝中证1000</t>
    <phoneticPr fontId="2" type="noConversion"/>
  </si>
  <si>
    <t>广发创业板</t>
    <phoneticPr fontId="2" type="noConversion"/>
  </si>
  <si>
    <t>广发中证传媒</t>
    <phoneticPr fontId="2" type="noConversion"/>
  </si>
  <si>
    <t>广发中证环保</t>
    <phoneticPr fontId="2" type="noConversion"/>
  </si>
  <si>
    <t>易方达证券公司</t>
    <phoneticPr fontId="2" type="noConversion"/>
  </si>
  <si>
    <t>华安黄金</t>
    <phoneticPr fontId="2" type="noConversion"/>
  </si>
  <si>
    <t>老爸蛋卷</t>
    <phoneticPr fontId="2" type="noConversion"/>
  </si>
  <si>
    <t>老妈蛋卷</t>
    <rPh sb="0" eb="1">
      <t>tian't'j'j</t>
    </rPh>
    <phoneticPr fontId="2" type="noConversion"/>
  </si>
  <si>
    <t>大成景安短融债券E</t>
    <phoneticPr fontId="2" type="noConversion"/>
  </si>
  <si>
    <t>华宝香港中小</t>
    <phoneticPr fontId="2" type="noConversion"/>
  </si>
  <si>
    <t>华夏上证50AH优选</t>
    <phoneticPr fontId="2" type="noConversion"/>
  </si>
  <si>
    <t>大成中证红利指数</t>
    <phoneticPr fontId="2" type="noConversion"/>
  </si>
  <si>
    <t>景顺长城中证500低波动</t>
    <phoneticPr fontId="2" type="noConversion"/>
  </si>
  <si>
    <t>申万菱信沪深300价值</t>
    <phoneticPr fontId="2" type="noConversion"/>
  </si>
  <si>
    <t>银河沪深300价值</t>
    <phoneticPr fontId="2" type="noConversion"/>
  </si>
  <si>
    <t>嘉实深证基本面120</t>
    <phoneticPr fontId="2" type="noConversion"/>
  </si>
  <si>
    <t>老妈蛋卷投入</t>
    <phoneticPr fontId="2" type="noConversion"/>
  </si>
  <si>
    <t>老爸蛋卷投入</t>
    <phoneticPr fontId="2" type="noConversion"/>
  </si>
  <si>
    <t>老妈货币基金</t>
    <phoneticPr fontId="2" type="noConversion"/>
  </si>
  <si>
    <t>老爸货币基金</t>
    <phoneticPr fontId="2" type="noConversion"/>
  </si>
  <si>
    <t>货基收益</t>
    <phoneticPr fontId="2" type="noConversion"/>
  </si>
  <si>
    <t>权益类资金综合</t>
    <rPh sb="0" eb="1">
      <t>zi'j</t>
    </rPh>
    <rPh sb="2" eb="3">
      <t>ji'shu</t>
    </rPh>
    <phoneticPr fontId="2" type="noConversion"/>
  </si>
  <si>
    <t>总资金</t>
    <phoneticPr fontId="2" type="noConversion"/>
  </si>
  <si>
    <t>权益类</t>
    <phoneticPr fontId="2" type="noConversion"/>
  </si>
  <si>
    <t>低风险</t>
    <phoneticPr fontId="2" type="noConversion"/>
  </si>
  <si>
    <t>债券类</t>
    <phoneticPr fontId="2" type="noConversion"/>
  </si>
  <si>
    <t>占比</t>
    <phoneticPr fontId="2" type="noConversion"/>
  </si>
  <si>
    <t>资产分类</t>
    <phoneticPr fontId="2" type="noConversion"/>
  </si>
  <si>
    <t>老妈蛋卷收益</t>
    <phoneticPr fontId="2" type="noConversion"/>
  </si>
  <si>
    <t>老爸蛋卷收益益</t>
    <phoneticPr fontId="2" type="noConversion"/>
  </si>
  <si>
    <t>计划收益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</si>
</sst>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10"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u/>
      <sz val="11"/>
      <color theme="10"/>
      <name val="DengXian"/>
      <family val="2"/>
      <charset val="134"/>
      <scheme val="minor"/>
    </font>
    <font>
      <u/>
      <sz val="11"/>
      <color theme="11"/>
      <name val="DengXian"/>
      <family val="2"/>
      <charset val="134"/>
      <scheme val="minor"/>
    </font>
    <font>
      <b/>
      <sz val="11"/>
      <color rgb="FFFF0000"/>
      <name val="DengXian"/>
      <family val="4"/>
      <charset val="134"/>
      <scheme val="minor"/>
    </font>
    <font>
      <b/>
      <sz val="11"/>
      <color theme="1"/>
      <name val="DengXian"/>
      <family val="4"/>
      <charset val="134"/>
      <scheme val="minor"/>
    </font>
    <font>
      <sz val="11"/>
      <color rgb="FFFF0000"/>
      <name val="DengXian"/>
      <family val="4"/>
      <charset val="134"/>
      <scheme val="minor"/>
    </font>
    <font>
      <sz val="11"/>
      <color theme="1"/>
      <name val="DengXian"/>
      <family val="4"/>
      <charset val="134"/>
      <scheme val="minor"/>
    </font>
    <font>
      <b/>
      <sz val="11"/>
      <color rgb="FFFF0000"/>
      <name val="DengXian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00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10" fontId="0" fillId="0" borderId="0" xfId="1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0" fontId="5" fillId="0" borderId="0" xfId="1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9" fontId="0" fillId="0" borderId="0" xfId="1" applyFont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 wrapText="1"/>
    </xf>
    <xf numFmtId="10" fontId="0" fillId="0" borderId="0" xfId="1" applyNumberFormat="1" applyFont="1" applyAlignment="1">
      <alignment vertical="center"/>
    </xf>
    <xf numFmtId="4" fontId="0" fillId="0" borderId="0" xfId="0" applyNumberFormat="1" applyAlignment="1">
      <alignment vertical="center"/>
    </xf>
    <xf numFmtId="10" fontId="0" fillId="0" borderId="0" xfId="0" applyNumberFormat="1" applyAlignment="1">
      <alignment vertical="center"/>
    </xf>
    <xf numFmtId="2" fontId="0" fillId="0" borderId="0" xfId="0" applyNumberFormat="1" applyFill="1" applyAlignment="1">
      <alignment horizontal="center" vertical="center"/>
    </xf>
    <xf numFmtId="10" fontId="9" fillId="0" borderId="0" xfId="1" applyNumberFormat="1" applyFont="1" applyAlignment="1">
      <alignment horizontal="right" vertical="center"/>
    </xf>
    <xf numFmtId="0" fontId="8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2" fontId="0" fillId="0" borderId="0" xfId="0" applyNumberFormat="1" applyAlignment="1">
      <alignment vertical="center"/>
    </xf>
    <xf numFmtId="0" fontId="0" fillId="0" borderId="0" xfId="0" applyAlignment="1">
      <alignment horizontal="center" vertical="center" wrapText="1"/>
    </xf>
  </cellXfs>
  <cellStyles count="500">
    <cellStyle name="百分比" xfId="1" builtinId="5"/>
    <cellStyle name="常规" xfId="0" builtinId="0"/>
    <cellStyle name="超链接" xfId="2" builtinId="8" hidden="1"/>
    <cellStyle name="超链接" xfId="4" builtinId="8" hidden="1"/>
    <cellStyle name="超链接" xfId="6" builtinId="8" hidden="1"/>
    <cellStyle name="超链接" xfId="8" builtinId="8" hidden="1"/>
    <cellStyle name="超链接" xfId="10" builtinId="8" hidden="1"/>
    <cellStyle name="超链接" xfId="12" builtinId="8" hidden="1"/>
    <cellStyle name="超链接" xfId="14" builtinId="8" hidden="1"/>
    <cellStyle name="超链接" xfId="16" builtinId="8" hidden="1"/>
    <cellStyle name="超链接" xfId="18" builtinId="8" hidden="1"/>
    <cellStyle name="超链接" xfId="20" builtinId="8" hidden="1"/>
    <cellStyle name="超链接" xfId="22" builtinId="8" hidden="1"/>
    <cellStyle name="超链接" xfId="24" builtinId="8" hidden="1"/>
    <cellStyle name="超链接" xfId="26" builtinId="8" hidden="1"/>
    <cellStyle name="超链接" xfId="28" builtinId="8" hidden="1"/>
    <cellStyle name="超链接" xfId="30" builtinId="8" hidden="1"/>
    <cellStyle name="超链接" xfId="32" builtinId="8" hidden="1"/>
    <cellStyle name="超链接" xfId="34" builtinId="8" hidden="1"/>
    <cellStyle name="超链接" xfId="36" builtinId="8" hidden="1"/>
    <cellStyle name="超链接" xfId="38" builtinId="8" hidden="1"/>
    <cellStyle name="超链接" xfId="40" builtinId="8" hidden="1"/>
    <cellStyle name="超链接" xfId="42" builtinId="8" hidden="1"/>
    <cellStyle name="超链接" xfId="44" builtinId="8" hidden="1"/>
    <cellStyle name="超链接" xfId="46" builtinId="8" hidden="1"/>
    <cellStyle name="超链接" xfId="48" builtinId="8" hidden="1"/>
    <cellStyle name="超链接" xfId="50" builtinId="8" hidden="1"/>
    <cellStyle name="超链接" xfId="52" builtinId="8" hidden="1"/>
    <cellStyle name="超链接" xfId="54" builtinId="8" hidden="1"/>
    <cellStyle name="超链接" xfId="56" builtinId="8" hidden="1"/>
    <cellStyle name="超链接" xfId="58" builtinId="8" hidden="1"/>
    <cellStyle name="超链接" xfId="60" builtinId="8" hidden="1"/>
    <cellStyle name="超链接" xfId="62" builtinId="8" hidden="1"/>
    <cellStyle name="超链接" xfId="64" builtinId="8" hidden="1"/>
    <cellStyle name="超链接" xfId="66" builtinId="8" hidden="1"/>
    <cellStyle name="超链接" xfId="68" builtinId="8" hidden="1"/>
    <cellStyle name="超链接" xfId="70" builtinId="8" hidden="1"/>
    <cellStyle name="超链接" xfId="72" builtinId="8" hidden="1"/>
    <cellStyle name="超链接" xfId="74" builtinId="8" hidden="1"/>
    <cellStyle name="超链接" xfId="76" builtinId="8" hidden="1"/>
    <cellStyle name="超链接" xfId="78" builtinId="8" hidden="1"/>
    <cellStyle name="超链接" xfId="80" builtinId="8" hidden="1"/>
    <cellStyle name="超链接" xfId="82" builtinId="8" hidden="1"/>
    <cellStyle name="超链接" xfId="84" builtinId="8" hidden="1"/>
    <cellStyle name="超链接" xfId="86" builtinId="8" hidden="1"/>
    <cellStyle name="超链接" xfId="88" builtinId="8" hidden="1"/>
    <cellStyle name="超链接" xfId="90" builtinId="8" hidden="1"/>
    <cellStyle name="超链接" xfId="92" builtinId="8" hidden="1"/>
    <cellStyle name="超链接" xfId="94" builtinId="8" hidden="1"/>
    <cellStyle name="超链接" xfId="96" builtinId="8" hidden="1"/>
    <cellStyle name="超链接" xfId="98" builtinId="8" hidden="1"/>
    <cellStyle name="超链接" xfId="100" builtinId="8" hidden="1"/>
    <cellStyle name="超链接" xfId="102" builtinId="8" hidden="1"/>
    <cellStyle name="超链接" xfId="104" builtinId="8" hidden="1"/>
    <cellStyle name="超链接" xfId="106" builtinId="8" hidden="1"/>
    <cellStyle name="超链接" xfId="108" builtinId="8" hidden="1"/>
    <cellStyle name="超链接" xfId="110" builtinId="8" hidden="1"/>
    <cellStyle name="超链接" xfId="112" builtinId="8" hidden="1"/>
    <cellStyle name="超链接" xfId="114" builtinId="8" hidden="1"/>
    <cellStyle name="超链接" xfId="116" builtinId="8" hidden="1"/>
    <cellStyle name="超链接" xfId="118" builtinId="8" hidden="1"/>
    <cellStyle name="超链接" xfId="120" builtinId="8" hidden="1"/>
    <cellStyle name="超链接" xfId="122" builtinId="8" hidden="1"/>
    <cellStyle name="超链接" xfId="124" builtinId="8" hidden="1"/>
    <cellStyle name="超链接" xfId="126" builtinId="8" hidden="1"/>
    <cellStyle name="超链接" xfId="128" builtinId="8" hidden="1"/>
    <cellStyle name="超链接" xfId="130" builtinId="8" hidden="1"/>
    <cellStyle name="超链接" xfId="132" builtinId="8" hidden="1"/>
    <cellStyle name="超链接" xfId="134" builtinId="8" hidden="1"/>
    <cellStyle name="超链接" xfId="136" builtinId="8" hidden="1"/>
    <cellStyle name="超链接" xfId="138" builtinId="8" hidden="1"/>
    <cellStyle name="超链接" xfId="140" builtinId="8" hidden="1"/>
    <cellStyle name="超链接" xfId="142" builtinId="8" hidden="1"/>
    <cellStyle name="超链接" xfId="144" builtinId="8" hidden="1"/>
    <cellStyle name="超链接" xfId="146" builtinId="8" hidden="1"/>
    <cellStyle name="超链接" xfId="148" builtinId="8" hidden="1"/>
    <cellStyle name="超链接" xfId="150" builtinId="8" hidden="1"/>
    <cellStyle name="超链接" xfId="152" builtinId="8" hidden="1"/>
    <cellStyle name="超链接" xfId="154" builtinId="8" hidden="1"/>
    <cellStyle name="超链接" xfId="156" builtinId="8" hidden="1"/>
    <cellStyle name="超链接" xfId="158" builtinId="8" hidden="1"/>
    <cellStyle name="超链接" xfId="160" builtinId="8" hidden="1"/>
    <cellStyle name="超链接" xfId="162" builtinId="8" hidden="1"/>
    <cellStyle name="超链接" xfId="164" builtinId="8" hidden="1"/>
    <cellStyle name="超链接" xfId="166" builtinId="8" hidden="1"/>
    <cellStyle name="超链接" xfId="168" builtinId="8" hidden="1"/>
    <cellStyle name="超链接" xfId="170" builtinId="8" hidden="1"/>
    <cellStyle name="超链接" xfId="172" builtinId="8" hidden="1"/>
    <cellStyle name="超链接" xfId="174" builtinId="8" hidden="1"/>
    <cellStyle name="超链接" xfId="176" builtinId="8" hidden="1"/>
    <cellStyle name="超链接" xfId="178" builtinId="8" hidden="1"/>
    <cellStyle name="超链接" xfId="180" builtinId="8" hidden="1"/>
    <cellStyle name="超链接" xfId="182" builtinId="8" hidden="1"/>
    <cellStyle name="超链接" xfId="184" builtinId="8" hidden="1"/>
    <cellStyle name="超链接" xfId="186" builtinId="8" hidden="1"/>
    <cellStyle name="超链接" xfId="188" builtinId="8" hidden="1"/>
    <cellStyle name="超链接" xfId="190" builtinId="8" hidden="1"/>
    <cellStyle name="超链接" xfId="192" builtinId="8" hidden="1"/>
    <cellStyle name="超链接" xfId="194" builtinId="8" hidden="1"/>
    <cellStyle name="超链接" xfId="196" builtinId="8" hidden="1"/>
    <cellStyle name="超链接" xfId="198" builtinId="8" hidden="1"/>
    <cellStyle name="超链接" xfId="200" builtinId="8" hidden="1"/>
    <cellStyle name="超链接" xfId="202" builtinId="8" hidden="1"/>
    <cellStyle name="超链接" xfId="204" builtinId="8" hidden="1"/>
    <cellStyle name="超链接" xfId="206" builtinId="8" hidden="1"/>
    <cellStyle name="超链接" xfId="208" builtinId="8" hidden="1"/>
    <cellStyle name="超链接" xfId="210" builtinId="8" hidden="1"/>
    <cellStyle name="超链接" xfId="212" builtinId="8" hidden="1"/>
    <cellStyle name="超链接" xfId="214" builtinId="8" hidden="1"/>
    <cellStyle name="超链接" xfId="216" builtinId="8" hidden="1"/>
    <cellStyle name="超链接" xfId="218" builtinId="8" hidden="1"/>
    <cellStyle name="超链接" xfId="220" builtinId="8" hidden="1"/>
    <cellStyle name="超链接" xfId="222" builtinId="8" hidden="1"/>
    <cellStyle name="超链接" xfId="224" builtinId="8" hidden="1"/>
    <cellStyle name="超链接" xfId="226" builtinId="8" hidden="1"/>
    <cellStyle name="超链接" xfId="228" builtinId="8" hidden="1"/>
    <cellStyle name="超链接" xfId="230" builtinId="8" hidden="1"/>
    <cellStyle name="超链接" xfId="232" builtinId="8" hidden="1"/>
    <cellStyle name="超链接" xfId="234" builtinId="8" hidden="1"/>
    <cellStyle name="超链接" xfId="236" builtinId="8" hidden="1"/>
    <cellStyle name="超链接" xfId="238" builtinId="8" hidden="1"/>
    <cellStyle name="超链接" xfId="240" builtinId="8" hidden="1"/>
    <cellStyle name="超链接" xfId="242" builtinId="8" hidden="1"/>
    <cellStyle name="超链接" xfId="244" builtinId="8" hidden="1"/>
    <cellStyle name="超链接" xfId="246" builtinId="8" hidden="1"/>
    <cellStyle name="超链接" xfId="248" builtinId="8" hidden="1"/>
    <cellStyle name="超链接" xfId="250" builtinId="8" hidden="1"/>
    <cellStyle name="超链接" xfId="252" builtinId="8" hidden="1"/>
    <cellStyle name="超链接" xfId="254" builtinId="8" hidden="1"/>
    <cellStyle name="超链接" xfId="256" builtinId="8" hidden="1"/>
    <cellStyle name="超链接" xfId="258" builtinId="8" hidden="1"/>
    <cellStyle name="超链接" xfId="260" builtinId="8" hidden="1"/>
    <cellStyle name="超链接" xfId="262" builtinId="8" hidden="1"/>
    <cellStyle name="超链接" xfId="264" builtinId="8" hidden="1"/>
    <cellStyle name="超链接" xfId="266" builtinId="8" hidden="1"/>
    <cellStyle name="超链接" xfId="268" builtinId="8" hidden="1"/>
    <cellStyle name="超链接" xfId="270" builtinId="8" hidden="1"/>
    <cellStyle name="超链接" xfId="272" builtinId="8" hidden="1"/>
    <cellStyle name="超链接" xfId="274" builtinId="8" hidden="1"/>
    <cellStyle name="超链接" xfId="276" builtinId="8" hidden="1"/>
    <cellStyle name="超链接" xfId="278" builtinId="8" hidden="1"/>
    <cellStyle name="超链接" xfId="280" builtinId="8" hidden="1"/>
    <cellStyle name="超链接" xfId="282" builtinId="8" hidden="1"/>
    <cellStyle name="超链接" xfId="284" builtinId="8" hidden="1"/>
    <cellStyle name="超链接" xfId="286" builtinId="8" hidden="1"/>
    <cellStyle name="超链接" xfId="288" builtinId="8" hidden="1"/>
    <cellStyle name="超链接" xfId="290" builtinId="8" hidden="1"/>
    <cellStyle name="超链接" xfId="292" builtinId="8" hidden="1"/>
    <cellStyle name="超链接" xfId="294" builtinId="8" hidden="1"/>
    <cellStyle name="超链接" xfId="296" builtinId="8" hidden="1"/>
    <cellStyle name="超链接" xfId="298" builtinId="8" hidden="1"/>
    <cellStyle name="超链接" xfId="300" builtinId="8" hidden="1"/>
    <cellStyle name="超链接" xfId="302" builtinId="8" hidden="1"/>
    <cellStyle name="超链接" xfId="304" builtinId="8" hidden="1"/>
    <cellStyle name="超链接" xfId="306" builtinId="8" hidden="1"/>
    <cellStyle name="超链接" xfId="308" builtinId="8" hidden="1"/>
    <cellStyle name="超链接" xfId="310" builtinId="8" hidden="1"/>
    <cellStyle name="超链接" xfId="312" builtinId="8" hidden="1"/>
    <cellStyle name="超链接" xfId="314" builtinId="8" hidden="1"/>
    <cellStyle name="超链接" xfId="316" builtinId="8" hidden="1"/>
    <cellStyle name="超链接" xfId="318" builtinId="8" hidden="1"/>
    <cellStyle name="超链接" xfId="320" builtinId="8" hidden="1"/>
    <cellStyle name="超链接" xfId="322" builtinId="8" hidden="1"/>
    <cellStyle name="超链接" xfId="324" builtinId="8" hidden="1"/>
    <cellStyle name="超链接" xfId="326" builtinId="8" hidden="1"/>
    <cellStyle name="超链接" xfId="328" builtinId="8" hidden="1"/>
    <cellStyle name="超链接" xfId="330" builtinId="8" hidden="1"/>
    <cellStyle name="超链接" xfId="332" builtinId="8" hidden="1"/>
    <cellStyle name="超链接" xfId="334" builtinId="8" hidden="1"/>
    <cellStyle name="超链接" xfId="336" builtinId="8" hidden="1"/>
    <cellStyle name="超链接" xfId="338" builtinId="8" hidden="1"/>
    <cellStyle name="超链接" xfId="340" builtinId="8" hidden="1"/>
    <cellStyle name="超链接" xfId="342" builtinId="8" hidden="1"/>
    <cellStyle name="超链接" xfId="344" builtinId="8" hidden="1"/>
    <cellStyle name="超链接" xfId="346" builtinId="8" hidden="1"/>
    <cellStyle name="超链接" xfId="348" builtinId="8" hidden="1"/>
    <cellStyle name="超链接" xfId="350" builtinId="8" hidden="1"/>
    <cellStyle name="超链接" xfId="352" builtinId="8" hidden="1"/>
    <cellStyle name="超链接" xfId="354" builtinId="8" hidden="1"/>
    <cellStyle name="超链接" xfId="356" builtinId="8" hidden="1"/>
    <cellStyle name="超链接" xfId="358" builtinId="8" hidden="1"/>
    <cellStyle name="超链接" xfId="360" builtinId="8" hidden="1"/>
    <cellStyle name="超链接" xfId="362" builtinId="8" hidden="1"/>
    <cellStyle name="超链接" xfId="364" builtinId="8" hidden="1"/>
    <cellStyle name="超链接" xfId="366" builtinId="8" hidden="1"/>
    <cellStyle name="超链接" xfId="368" builtinId="8" hidden="1"/>
    <cellStyle name="超链接" xfId="370" builtinId="8" hidden="1"/>
    <cellStyle name="超链接" xfId="372" builtinId="8" hidden="1"/>
    <cellStyle name="超链接" xfId="374" builtinId="8" hidden="1"/>
    <cellStyle name="超链接" xfId="376" builtinId="8" hidden="1"/>
    <cellStyle name="超链接" xfId="378" builtinId="8" hidden="1"/>
    <cellStyle name="超链接" xfId="380" builtinId="8" hidden="1"/>
    <cellStyle name="超链接" xfId="382" builtinId="8" hidden="1"/>
    <cellStyle name="超链接" xfId="384" builtinId="8" hidden="1"/>
    <cellStyle name="超链接" xfId="386" builtinId="8" hidden="1"/>
    <cellStyle name="超链接" xfId="388" builtinId="8" hidden="1"/>
    <cellStyle name="超链接" xfId="390" builtinId="8" hidden="1"/>
    <cellStyle name="超链接" xfId="392" builtinId="8" hidden="1"/>
    <cellStyle name="超链接" xfId="394" builtinId="8" hidden="1"/>
    <cellStyle name="超链接" xfId="396" builtinId="8" hidden="1"/>
    <cellStyle name="超链接" xfId="398" builtinId="8" hidden="1"/>
    <cellStyle name="超链接" xfId="400" builtinId="8" hidden="1"/>
    <cellStyle name="超链接" xfId="402" builtinId="8" hidden="1"/>
    <cellStyle name="超链接" xfId="404" builtinId="8" hidden="1"/>
    <cellStyle name="超链接" xfId="406" builtinId="8" hidden="1"/>
    <cellStyle name="超链接" xfId="408" builtinId="8" hidden="1"/>
    <cellStyle name="超链接" xfId="410" builtinId="8" hidden="1"/>
    <cellStyle name="超链接" xfId="412" builtinId="8" hidden="1"/>
    <cellStyle name="超链接" xfId="414" builtinId="8" hidden="1"/>
    <cellStyle name="超链接" xfId="416" builtinId="8" hidden="1"/>
    <cellStyle name="超链接" xfId="418" builtinId="8" hidden="1"/>
    <cellStyle name="超链接" xfId="420" builtinId="8" hidden="1"/>
    <cellStyle name="超链接" xfId="422" builtinId="8" hidden="1"/>
    <cellStyle name="超链接" xfId="424" builtinId="8" hidden="1"/>
    <cellStyle name="超链接" xfId="426" builtinId="8" hidden="1"/>
    <cellStyle name="超链接" xfId="428" builtinId="8" hidden="1"/>
    <cellStyle name="超链接" xfId="430" builtinId="8" hidden="1"/>
    <cellStyle name="超链接" xfId="432" builtinId="8" hidden="1"/>
    <cellStyle name="超链接" xfId="434" builtinId="8" hidden="1"/>
    <cellStyle name="超链接" xfId="436" builtinId="8" hidden="1"/>
    <cellStyle name="超链接" xfId="438" builtinId="8" hidden="1"/>
    <cellStyle name="超链接" xfId="440" builtinId="8" hidden="1"/>
    <cellStyle name="超链接" xfId="442" builtinId="8" hidden="1"/>
    <cellStyle name="超链接" xfId="444" builtinId="8" hidden="1"/>
    <cellStyle name="超链接" xfId="446" builtinId="8" hidden="1"/>
    <cellStyle name="超链接" xfId="448" builtinId="8" hidden="1"/>
    <cellStyle name="超链接" xfId="450" builtinId="8" hidden="1"/>
    <cellStyle name="超链接" xfId="452" builtinId="8" hidden="1"/>
    <cellStyle name="超链接" xfId="454" builtinId="8" hidden="1"/>
    <cellStyle name="超链接" xfId="456" builtinId="8" hidden="1"/>
    <cellStyle name="超链接" xfId="458" builtinId="8" hidden="1"/>
    <cellStyle name="超链接" xfId="460" builtinId="8" hidden="1"/>
    <cellStyle name="超链接" xfId="462" builtinId="8" hidden="1"/>
    <cellStyle name="超链接" xfId="464" builtinId="8" hidden="1"/>
    <cellStyle name="超链接" xfId="466" builtinId="8" hidden="1"/>
    <cellStyle name="超链接" xfId="468" builtinId="8" hidden="1"/>
    <cellStyle name="超链接" xfId="470" builtinId="8" hidden="1"/>
    <cellStyle name="超链接" xfId="472" builtinId="8" hidden="1"/>
    <cellStyle name="超链接" xfId="474" builtinId="8" hidden="1"/>
    <cellStyle name="超链接" xfId="476" builtinId="8" hidden="1"/>
    <cellStyle name="超链接" xfId="478" builtinId="8" hidden="1"/>
    <cellStyle name="超链接" xfId="480" builtinId="8" hidden="1"/>
    <cellStyle name="超链接" xfId="482" builtinId="8" hidden="1"/>
    <cellStyle name="超链接" xfId="484" builtinId="8" hidden="1"/>
    <cellStyle name="超链接" xfId="486" builtinId="8" hidden="1"/>
    <cellStyle name="超链接" xfId="488" builtinId="8" hidden="1"/>
    <cellStyle name="超链接" xfId="490" builtinId="8" hidden="1"/>
    <cellStyle name="超链接" xfId="492" builtinId="8" hidden="1"/>
    <cellStyle name="超链接" xfId="494" builtinId="8" hidden="1"/>
    <cellStyle name="超链接" xfId="496" builtinId="8" hidden="1"/>
    <cellStyle name="超链接" xfId="498" builtinId="8" hidden="1"/>
    <cellStyle name="已访问的超链接" xfId="3" builtinId="9" hidden="1"/>
    <cellStyle name="已访问的超链接" xfId="5" builtinId="9" hidden="1"/>
    <cellStyle name="已访问的超链接" xfId="7" builtinId="9" hidden="1"/>
    <cellStyle name="已访问的超链接" xfId="9" builtinId="9" hidden="1"/>
    <cellStyle name="已访问的超链接" xfId="11" builtinId="9" hidden="1"/>
    <cellStyle name="已访问的超链接" xfId="13" builtinId="9" hidden="1"/>
    <cellStyle name="已访问的超链接" xfId="15" builtinId="9" hidden="1"/>
    <cellStyle name="已访问的超链接" xfId="17" builtinId="9" hidden="1"/>
    <cellStyle name="已访问的超链接" xfId="19" builtinId="9" hidden="1"/>
    <cellStyle name="已访问的超链接" xfId="21" builtinId="9" hidden="1"/>
    <cellStyle name="已访问的超链接" xfId="23" builtinId="9" hidden="1"/>
    <cellStyle name="已访问的超链接" xfId="25" builtinId="9" hidden="1"/>
    <cellStyle name="已访问的超链接" xfId="27" builtinId="9" hidden="1"/>
    <cellStyle name="已访问的超链接" xfId="29" builtinId="9" hidden="1"/>
    <cellStyle name="已访问的超链接" xfId="31" builtinId="9" hidden="1"/>
    <cellStyle name="已访问的超链接" xfId="33" builtinId="9" hidden="1"/>
    <cellStyle name="已访问的超链接" xfId="35" builtinId="9" hidden="1"/>
    <cellStyle name="已访问的超链接" xfId="37" builtinId="9" hidden="1"/>
    <cellStyle name="已访问的超链接" xfId="39" builtinId="9" hidden="1"/>
    <cellStyle name="已访问的超链接" xfId="41" builtinId="9" hidden="1"/>
    <cellStyle name="已访问的超链接" xfId="43" builtinId="9" hidden="1"/>
    <cellStyle name="已访问的超链接" xfId="45" builtinId="9" hidden="1"/>
    <cellStyle name="已访问的超链接" xfId="47" builtinId="9" hidden="1"/>
    <cellStyle name="已访问的超链接" xfId="49" builtinId="9" hidden="1"/>
    <cellStyle name="已访问的超链接" xfId="51" builtinId="9" hidden="1"/>
    <cellStyle name="已访问的超链接" xfId="53" builtinId="9" hidden="1"/>
    <cellStyle name="已访问的超链接" xfId="55" builtinId="9" hidden="1"/>
    <cellStyle name="已访问的超链接" xfId="57" builtinId="9" hidden="1"/>
    <cellStyle name="已访问的超链接" xfId="59" builtinId="9" hidden="1"/>
    <cellStyle name="已访问的超链接" xfId="61" builtinId="9" hidden="1"/>
    <cellStyle name="已访问的超链接" xfId="63" builtinId="9" hidden="1"/>
    <cellStyle name="已访问的超链接" xfId="65" builtinId="9" hidden="1"/>
    <cellStyle name="已访问的超链接" xfId="67" builtinId="9" hidden="1"/>
    <cellStyle name="已访问的超链接" xfId="69" builtinId="9" hidden="1"/>
    <cellStyle name="已访问的超链接" xfId="71" builtinId="9" hidden="1"/>
    <cellStyle name="已访问的超链接" xfId="73" builtinId="9" hidden="1"/>
    <cellStyle name="已访问的超链接" xfId="75" builtinId="9" hidden="1"/>
    <cellStyle name="已访问的超链接" xfId="77" builtinId="9" hidden="1"/>
    <cellStyle name="已访问的超链接" xfId="79" builtinId="9" hidden="1"/>
    <cellStyle name="已访问的超链接" xfId="81" builtinId="9" hidden="1"/>
    <cellStyle name="已访问的超链接" xfId="83" builtinId="9" hidden="1"/>
    <cellStyle name="已访问的超链接" xfId="85" builtinId="9" hidden="1"/>
    <cellStyle name="已访问的超链接" xfId="87" builtinId="9" hidden="1"/>
    <cellStyle name="已访问的超链接" xfId="89" builtinId="9" hidden="1"/>
    <cellStyle name="已访问的超链接" xfId="91" builtinId="9" hidden="1"/>
    <cellStyle name="已访问的超链接" xfId="93" builtinId="9" hidden="1"/>
    <cellStyle name="已访问的超链接" xfId="95" builtinId="9" hidden="1"/>
    <cellStyle name="已访问的超链接" xfId="97" builtinId="9" hidden="1"/>
    <cellStyle name="已访问的超链接" xfId="99" builtinId="9" hidden="1"/>
    <cellStyle name="已访问的超链接" xfId="101" builtinId="9" hidden="1"/>
    <cellStyle name="已访问的超链接" xfId="103" builtinId="9" hidden="1"/>
    <cellStyle name="已访问的超链接" xfId="105" builtinId="9" hidden="1"/>
    <cellStyle name="已访问的超链接" xfId="107" builtinId="9" hidden="1"/>
    <cellStyle name="已访问的超链接" xfId="109" builtinId="9" hidden="1"/>
    <cellStyle name="已访问的超链接" xfId="111" builtinId="9" hidden="1"/>
    <cellStyle name="已访问的超链接" xfId="113" builtinId="9" hidden="1"/>
    <cellStyle name="已访问的超链接" xfId="115" builtinId="9" hidden="1"/>
    <cellStyle name="已访问的超链接" xfId="117" builtinId="9" hidden="1"/>
    <cellStyle name="已访问的超链接" xfId="119" builtinId="9" hidden="1"/>
    <cellStyle name="已访问的超链接" xfId="121" builtinId="9" hidden="1"/>
    <cellStyle name="已访问的超链接" xfId="123" builtinId="9" hidden="1"/>
    <cellStyle name="已访问的超链接" xfId="125" builtinId="9" hidden="1"/>
    <cellStyle name="已访问的超链接" xfId="127" builtinId="9" hidden="1"/>
    <cellStyle name="已访问的超链接" xfId="129" builtinId="9" hidden="1"/>
    <cellStyle name="已访问的超链接" xfId="131" builtinId="9" hidden="1"/>
    <cellStyle name="已访问的超链接" xfId="133" builtinId="9" hidden="1"/>
    <cellStyle name="已访问的超链接" xfId="135" builtinId="9" hidden="1"/>
    <cellStyle name="已访问的超链接" xfId="137" builtinId="9" hidden="1"/>
    <cellStyle name="已访问的超链接" xfId="139" builtinId="9" hidden="1"/>
    <cellStyle name="已访问的超链接" xfId="141" builtinId="9" hidden="1"/>
    <cellStyle name="已访问的超链接" xfId="143" builtinId="9" hidden="1"/>
    <cellStyle name="已访问的超链接" xfId="145" builtinId="9" hidden="1"/>
    <cellStyle name="已访问的超链接" xfId="147" builtinId="9" hidden="1"/>
    <cellStyle name="已访问的超链接" xfId="149" builtinId="9" hidden="1"/>
    <cellStyle name="已访问的超链接" xfId="151" builtinId="9" hidden="1"/>
    <cellStyle name="已访问的超链接" xfId="153" builtinId="9" hidden="1"/>
    <cellStyle name="已访问的超链接" xfId="155" builtinId="9" hidden="1"/>
    <cellStyle name="已访问的超链接" xfId="157" builtinId="9" hidden="1"/>
    <cellStyle name="已访问的超链接" xfId="159" builtinId="9" hidden="1"/>
    <cellStyle name="已访问的超链接" xfId="161" builtinId="9" hidden="1"/>
    <cellStyle name="已访问的超链接" xfId="163" builtinId="9" hidden="1"/>
    <cellStyle name="已访问的超链接" xfId="165" builtinId="9" hidden="1"/>
    <cellStyle name="已访问的超链接" xfId="167" builtinId="9" hidden="1"/>
    <cellStyle name="已访问的超链接" xfId="169" builtinId="9" hidden="1"/>
    <cellStyle name="已访问的超链接" xfId="171" builtinId="9" hidden="1"/>
    <cellStyle name="已访问的超链接" xfId="173" builtinId="9" hidden="1"/>
    <cellStyle name="已访问的超链接" xfId="175" builtinId="9" hidden="1"/>
    <cellStyle name="已访问的超链接" xfId="177" builtinId="9" hidden="1"/>
    <cellStyle name="已访问的超链接" xfId="179" builtinId="9" hidden="1"/>
    <cellStyle name="已访问的超链接" xfId="181" builtinId="9" hidden="1"/>
    <cellStyle name="已访问的超链接" xfId="183" builtinId="9" hidden="1"/>
    <cellStyle name="已访问的超链接" xfId="185" builtinId="9" hidden="1"/>
    <cellStyle name="已访问的超链接" xfId="187" builtinId="9" hidden="1"/>
    <cellStyle name="已访问的超链接" xfId="189" builtinId="9" hidden="1"/>
    <cellStyle name="已访问的超链接" xfId="191" builtinId="9" hidden="1"/>
    <cellStyle name="已访问的超链接" xfId="193" builtinId="9" hidden="1"/>
    <cellStyle name="已访问的超链接" xfId="195" builtinId="9" hidden="1"/>
    <cellStyle name="已访问的超链接" xfId="197" builtinId="9" hidden="1"/>
    <cellStyle name="已访问的超链接" xfId="199" builtinId="9" hidden="1"/>
    <cellStyle name="已访问的超链接" xfId="201" builtinId="9" hidden="1"/>
    <cellStyle name="已访问的超链接" xfId="203" builtinId="9" hidden="1"/>
    <cellStyle name="已访问的超链接" xfId="205" builtinId="9" hidden="1"/>
    <cellStyle name="已访问的超链接" xfId="207" builtinId="9" hidden="1"/>
    <cellStyle name="已访问的超链接" xfId="209" builtinId="9" hidden="1"/>
    <cellStyle name="已访问的超链接" xfId="211" builtinId="9" hidden="1"/>
    <cellStyle name="已访问的超链接" xfId="213" builtinId="9" hidden="1"/>
    <cellStyle name="已访问的超链接" xfId="215" builtinId="9" hidden="1"/>
    <cellStyle name="已访问的超链接" xfId="217" builtinId="9" hidden="1"/>
    <cellStyle name="已访问的超链接" xfId="219" builtinId="9" hidden="1"/>
    <cellStyle name="已访问的超链接" xfId="221" builtinId="9" hidden="1"/>
    <cellStyle name="已访问的超链接" xfId="223" builtinId="9" hidden="1"/>
    <cellStyle name="已访问的超链接" xfId="225" builtinId="9" hidden="1"/>
    <cellStyle name="已访问的超链接" xfId="227" builtinId="9" hidden="1"/>
    <cellStyle name="已访问的超链接" xfId="229" builtinId="9" hidden="1"/>
    <cellStyle name="已访问的超链接" xfId="231" builtinId="9" hidden="1"/>
    <cellStyle name="已访问的超链接" xfId="233" builtinId="9" hidden="1"/>
    <cellStyle name="已访问的超链接" xfId="235" builtinId="9" hidden="1"/>
    <cellStyle name="已访问的超链接" xfId="237" builtinId="9" hidden="1"/>
    <cellStyle name="已访问的超链接" xfId="239" builtinId="9" hidden="1"/>
    <cellStyle name="已访问的超链接" xfId="241" builtinId="9" hidden="1"/>
    <cellStyle name="已访问的超链接" xfId="243" builtinId="9" hidden="1"/>
    <cellStyle name="已访问的超链接" xfId="245" builtinId="9" hidden="1"/>
    <cellStyle name="已访问的超链接" xfId="247" builtinId="9" hidden="1"/>
    <cellStyle name="已访问的超链接" xfId="249" builtinId="9" hidden="1"/>
    <cellStyle name="已访问的超链接" xfId="251" builtinId="9" hidden="1"/>
    <cellStyle name="已访问的超链接" xfId="253" builtinId="9" hidden="1"/>
    <cellStyle name="已访问的超链接" xfId="255" builtinId="9" hidden="1"/>
    <cellStyle name="已访问的超链接" xfId="257" builtinId="9" hidden="1"/>
    <cellStyle name="已访问的超链接" xfId="259" builtinId="9" hidden="1"/>
    <cellStyle name="已访问的超链接" xfId="261" builtinId="9" hidden="1"/>
    <cellStyle name="已访问的超链接" xfId="263" builtinId="9" hidden="1"/>
    <cellStyle name="已访问的超链接" xfId="265" builtinId="9" hidden="1"/>
    <cellStyle name="已访问的超链接" xfId="267" builtinId="9" hidden="1"/>
    <cellStyle name="已访问的超链接" xfId="269" builtinId="9" hidden="1"/>
    <cellStyle name="已访问的超链接" xfId="271" builtinId="9" hidden="1"/>
    <cellStyle name="已访问的超链接" xfId="273" builtinId="9" hidden="1"/>
    <cellStyle name="已访问的超链接" xfId="275" builtinId="9" hidden="1"/>
    <cellStyle name="已访问的超链接" xfId="277" builtinId="9" hidden="1"/>
    <cellStyle name="已访问的超链接" xfId="279" builtinId="9" hidden="1"/>
    <cellStyle name="已访问的超链接" xfId="281" builtinId="9" hidden="1"/>
    <cellStyle name="已访问的超链接" xfId="283" builtinId="9" hidden="1"/>
    <cellStyle name="已访问的超链接" xfId="285" builtinId="9" hidden="1"/>
    <cellStyle name="已访问的超链接" xfId="287" builtinId="9" hidden="1"/>
    <cellStyle name="已访问的超链接" xfId="289" builtinId="9" hidden="1"/>
    <cellStyle name="已访问的超链接" xfId="291" builtinId="9" hidden="1"/>
    <cellStyle name="已访问的超链接" xfId="293" builtinId="9" hidden="1"/>
    <cellStyle name="已访问的超链接" xfId="295" builtinId="9" hidden="1"/>
    <cellStyle name="已访问的超链接" xfId="297" builtinId="9" hidden="1"/>
    <cellStyle name="已访问的超链接" xfId="299" builtinId="9" hidden="1"/>
    <cellStyle name="已访问的超链接" xfId="301" builtinId="9" hidden="1"/>
    <cellStyle name="已访问的超链接" xfId="303" builtinId="9" hidden="1"/>
    <cellStyle name="已访问的超链接" xfId="305" builtinId="9" hidden="1"/>
    <cellStyle name="已访问的超链接" xfId="307" builtinId="9" hidden="1"/>
    <cellStyle name="已访问的超链接" xfId="309" builtinId="9" hidden="1"/>
    <cellStyle name="已访问的超链接" xfId="311" builtinId="9" hidden="1"/>
    <cellStyle name="已访问的超链接" xfId="313" builtinId="9" hidden="1"/>
    <cellStyle name="已访问的超链接" xfId="315" builtinId="9" hidden="1"/>
    <cellStyle name="已访问的超链接" xfId="317" builtinId="9" hidden="1"/>
    <cellStyle name="已访问的超链接" xfId="319" builtinId="9" hidden="1"/>
    <cellStyle name="已访问的超链接" xfId="321" builtinId="9" hidden="1"/>
    <cellStyle name="已访问的超链接" xfId="323" builtinId="9" hidden="1"/>
    <cellStyle name="已访问的超链接" xfId="325" builtinId="9" hidden="1"/>
    <cellStyle name="已访问的超链接" xfId="327" builtinId="9" hidden="1"/>
    <cellStyle name="已访问的超链接" xfId="329" builtinId="9" hidden="1"/>
    <cellStyle name="已访问的超链接" xfId="331" builtinId="9" hidden="1"/>
    <cellStyle name="已访问的超链接" xfId="333" builtinId="9" hidden="1"/>
    <cellStyle name="已访问的超链接" xfId="335" builtinId="9" hidden="1"/>
    <cellStyle name="已访问的超链接" xfId="337" builtinId="9" hidden="1"/>
    <cellStyle name="已访问的超链接" xfId="339" builtinId="9" hidden="1"/>
    <cellStyle name="已访问的超链接" xfId="341" builtinId="9" hidden="1"/>
    <cellStyle name="已访问的超链接" xfId="343" builtinId="9" hidden="1"/>
    <cellStyle name="已访问的超链接" xfId="345" builtinId="9" hidden="1"/>
    <cellStyle name="已访问的超链接" xfId="347" builtinId="9" hidden="1"/>
    <cellStyle name="已访问的超链接" xfId="349" builtinId="9" hidden="1"/>
    <cellStyle name="已访问的超链接" xfId="351" builtinId="9" hidden="1"/>
    <cellStyle name="已访问的超链接" xfId="353" builtinId="9" hidden="1"/>
    <cellStyle name="已访问的超链接" xfId="355" builtinId="9" hidden="1"/>
    <cellStyle name="已访问的超链接" xfId="357" builtinId="9" hidden="1"/>
    <cellStyle name="已访问的超链接" xfId="359" builtinId="9" hidden="1"/>
    <cellStyle name="已访问的超链接" xfId="361" builtinId="9" hidden="1"/>
    <cellStyle name="已访问的超链接" xfId="363" builtinId="9" hidden="1"/>
    <cellStyle name="已访问的超链接" xfId="365" builtinId="9" hidden="1"/>
    <cellStyle name="已访问的超链接" xfId="367" builtinId="9" hidden="1"/>
    <cellStyle name="已访问的超链接" xfId="369" builtinId="9" hidden="1"/>
    <cellStyle name="已访问的超链接" xfId="371" builtinId="9" hidden="1"/>
    <cellStyle name="已访问的超链接" xfId="373" builtinId="9" hidden="1"/>
    <cellStyle name="已访问的超链接" xfId="375" builtinId="9" hidden="1"/>
    <cellStyle name="已访问的超链接" xfId="377" builtinId="9" hidden="1"/>
    <cellStyle name="已访问的超链接" xfId="379" builtinId="9" hidden="1"/>
    <cellStyle name="已访问的超链接" xfId="381" builtinId="9" hidden="1"/>
    <cellStyle name="已访问的超链接" xfId="383" builtinId="9" hidden="1"/>
    <cellStyle name="已访问的超链接" xfId="385" builtinId="9" hidden="1"/>
    <cellStyle name="已访问的超链接" xfId="387" builtinId="9" hidden="1"/>
    <cellStyle name="已访问的超链接" xfId="389" builtinId="9" hidden="1"/>
    <cellStyle name="已访问的超链接" xfId="391" builtinId="9" hidden="1"/>
    <cellStyle name="已访问的超链接" xfId="393" builtinId="9" hidden="1"/>
    <cellStyle name="已访问的超链接" xfId="395" builtinId="9" hidden="1"/>
    <cellStyle name="已访问的超链接" xfId="397" builtinId="9" hidden="1"/>
    <cellStyle name="已访问的超链接" xfId="399" builtinId="9" hidden="1"/>
    <cellStyle name="已访问的超链接" xfId="401" builtinId="9" hidden="1"/>
    <cellStyle name="已访问的超链接" xfId="403" builtinId="9" hidden="1"/>
    <cellStyle name="已访问的超链接" xfId="405" builtinId="9" hidden="1"/>
    <cellStyle name="已访问的超链接" xfId="407" builtinId="9" hidden="1"/>
    <cellStyle name="已访问的超链接" xfId="409" builtinId="9" hidden="1"/>
    <cellStyle name="已访问的超链接" xfId="411" builtinId="9" hidden="1"/>
    <cellStyle name="已访问的超链接" xfId="413" builtinId="9" hidden="1"/>
    <cellStyle name="已访问的超链接" xfId="415" builtinId="9" hidden="1"/>
    <cellStyle name="已访问的超链接" xfId="417" builtinId="9" hidden="1"/>
    <cellStyle name="已访问的超链接" xfId="419" builtinId="9" hidden="1"/>
    <cellStyle name="已访问的超链接" xfId="421" builtinId="9" hidden="1"/>
    <cellStyle name="已访问的超链接" xfId="423" builtinId="9" hidden="1"/>
    <cellStyle name="已访问的超链接" xfId="425" builtinId="9" hidden="1"/>
    <cellStyle name="已访问的超链接" xfId="427" builtinId="9" hidden="1"/>
    <cellStyle name="已访问的超链接" xfId="429" builtinId="9" hidden="1"/>
    <cellStyle name="已访问的超链接" xfId="431" builtinId="9" hidden="1"/>
    <cellStyle name="已访问的超链接" xfId="433" builtinId="9" hidden="1"/>
    <cellStyle name="已访问的超链接" xfId="435" builtinId="9" hidden="1"/>
    <cellStyle name="已访问的超链接" xfId="437" builtinId="9" hidden="1"/>
    <cellStyle name="已访问的超链接" xfId="439" builtinId="9" hidden="1"/>
    <cellStyle name="已访问的超链接" xfId="441" builtinId="9" hidden="1"/>
    <cellStyle name="已访问的超链接" xfId="443" builtinId="9" hidden="1"/>
    <cellStyle name="已访问的超链接" xfId="445" builtinId="9" hidden="1"/>
    <cellStyle name="已访问的超链接" xfId="447" builtinId="9" hidden="1"/>
    <cellStyle name="已访问的超链接" xfId="449" builtinId="9" hidden="1"/>
    <cellStyle name="已访问的超链接" xfId="451" builtinId="9" hidden="1"/>
    <cellStyle name="已访问的超链接" xfId="453" builtinId="9" hidden="1"/>
    <cellStyle name="已访问的超链接" xfId="455" builtinId="9" hidden="1"/>
    <cellStyle name="已访问的超链接" xfId="457" builtinId="9" hidden="1"/>
    <cellStyle name="已访问的超链接" xfId="459" builtinId="9" hidden="1"/>
    <cellStyle name="已访问的超链接" xfId="461" builtinId="9" hidden="1"/>
    <cellStyle name="已访问的超链接" xfId="463" builtinId="9" hidden="1"/>
    <cellStyle name="已访问的超链接" xfId="465" builtinId="9" hidden="1"/>
    <cellStyle name="已访问的超链接" xfId="467" builtinId="9" hidden="1"/>
    <cellStyle name="已访问的超链接" xfId="469" builtinId="9" hidden="1"/>
    <cellStyle name="已访问的超链接" xfId="471" builtinId="9" hidden="1"/>
    <cellStyle name="已访问的超链接" xfId="473" builtinId="9" hidden="1"/>
    <cellStyle name="已访问的超链接" xfId="475" builtinId="9" hidden="1"/>
    <cellStyle name="已访问的超链接" xfId="477" builtinId="9" hidden="1"/>
    <cellStyle name="已访问的超链接" xfId="479" builtinId="9" hidden="1"/>
    <cellStyle name="已访问的超链接" xfId="481" builtinId="9" hidden="1"/>
    <cellStyle name="已访问的超链接" xfId="483" builtinId="9" hidden="1"/>
    <cellStyle name="已访问的超链接" xfId="485" builtinId="9" hidden="1"/>
    <cellStyle name="已访问的超链接" xfId="487" builtinId="9" hidden="1"/>
    <cellStyle name="已访问的超链接" xfId="489" builtinId="9" hidden="1"/>
    <cellStyle name="已访问的超链接" xfId="491" builtinId="9" hidden="1"/>
    <cellStyle name="已访问的超链接" xfId="493" builtinId="9" hidden="1"/>
    <cellStyle name="已访问的超链接" xfId="495" builtinId="9" hidden="1"/>
    <cellStyle name="已访问的超链接" xfId="497" builtinId="9" hidden="1"/>
    <cellStyle name="已访问的超链接" xfId="499" builtinId="9" hidden="1"/>
  </cellStyles>
  <dxfs count="0"/>
  <tableStyles count="0" defaultTableStyle="TableStyleMedium2" defaultPivotStyle="PivotStyleLight16"/>
  <colors>
    <mruColors>
      <color rgb="FFFF6600"/>
      <color rgb="FFFF9933"/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资产配置情况!$L$14</c:f>
              <c:strCache>
                <c:ptCount val="1"/>
                <c:pt idx="0">
                  <c:v>占比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3F4-49C2-A4D3-A8345C29EC0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968-41B3-BFE2-9C3E04C8E34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3F4-49C2-A4D3-A8345C29EC0E}"/>
              </c:ext>
            </c:extLst>
          </c:dPt>
          <c:dLbls>
            <c:dLbl>
              <c:idx val="1"/>
              <c:layout>
                <c:manualLayout>
                  <c:x val="2.110795961099814E-2"/>
                  <c:y val="2.960255111035869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968-41B3-BFE2-9C3E04C8E34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资产配置情况!$K$15:$K$17</c:f>
              <c:strCache>
                <c:ptCount val="3"/>
                <c:pt idx="0">
                  <c:v>权益类</c:v>
                </c:pt>
                <c:pt idx="1">
                  <c:v>债券类</c:v>
                </c:pt>
                <c:pt idx="2">
                  <c:v>低风险</c:v>
                </c:pt>
              </c:strCache>
            </c:strRef>
          </c:cat>
          <c:val>
            <c:numRef>
              <c:f>资产配置情况!$L$15:$L$17</c:f>
              <c:numCache>
                <c:formatCode>0.00%</c:formatCode>
                <c:ptCount val="3"/>
                <c:pt idx="0">
                  <c:v>7.0295495057743823E-2</c:v>
                </c:pt>
                <c:pt idx="1">
                  <c:v>3.2260476134733495E-3</c:v>
                </c:pt>
                <c:pt idx="2">
                  <c:v>0.93547369895517074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68-41B3-BFE2-9C3E04C8E3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c:style val="2"/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majorTickMark val="out"/>
        <c:minorTickMark val="none"/>
        <c:tickLblPos val="nextTo"/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_xlchart.v1.2</cx:f>
      </cx:numDim>
    </cx:data>
  </cx:chartData>
  <cx:chart>
    <cx:title pos="t" align="ctr" overlay="0">
      <cx:tx>
        <cx:rich>
          <a:bodyPr rot="0" spcFirstLastPara="1" vertOverflow="ellipsis" vert="horz" wrap="square" lIns="38100" tIns="19050" rIns="38100" bIns="19050" anchor="ctr" anchorCtr="1" compatLnSpc="0"/>
          <a:lstStyle/>
          <a:p>
            <a:pPr algn="ctr" rtl="0"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kumimoji="0" lang="zh-CN" altLang="en-US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DengXian"/>
                <a:ea typeface="DengXian" panose="02010600030101010101" pitchFamily="2" charset="-122"/>
              </a:rPr>
              <a:t>资产旭日图</a:t>
            </a:r>
            <a:endParaRPr kumimoji="0" lang="en-US" altLang="zh-CN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DengXian"/>
              <a:ea typeface="DengXian" panose="02010600030101010101" pitchFamily="2" charset="-122"/>
            </a:endParaRPr>
          </a:p>
        </cx:rich>
      </cx:tx>
    </cx:title>
    <cx:plotArea>
      <cx:plotAreaRegion>
        <cx:series layoutId="sunburst" uniqueId="{8088FB3B-8710-4C4C-B870-6F5E76FD2C5D}">
          <cx:tx>
            <cx:txData>
              <cx:f>_xlchart.v1.1</cx:f>
              <cx:v>市值占比</cx:v>
            </cx:txData>
          </cx:tx>
          <cx:dataLabels pos="ctr">
            <cx:visibility seriesName="0" categoryName="1" value="0"/>
          </cx:dataLabels>
          <cx:dataId val="0"/>
        </cx:series>
      </cx:plotAreaRegion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DDE04E1-2FC7-41CE-BE55-39A4B9B938FE}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33337</xdr:colOff>
      <xdr:row>17</xdr:row>
      <xdr:rowOff>52387</xdr:rowOff>
    </xdr:from>
    <xdr:to>
      <xdr:col>11</xdr:col>
      <xdr:colOff>933450</xdr:colOff>
      <xdr:row>29</xdr:row>
      <xdr:rowOff>19050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F47BABB-C731-4315-83CB-6EBDFF6139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9677" cy="6073468"/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图表 1">
              <a:extLst>
                <a:ext uri="{FF2B5EF4-FFF2-40B4-BE49-F238E27FC236}">
                  <a16:creationId xmlns:a16="http://schemas.microsoft.com/office/drawing/2014/main" id="{910BEC13-651C-4C02-8F72-3553AFF39332}"/>
                </a:ext>
              </a:extLst>
            </xdr:cNvPr>
            <xdr:cNvGraphicFramePr>
              <a:graphicFrameLocks noGrp="1"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graphicFrame macro="">
          <xdr:nvGraphicFramePr>
            <xdr:cNvPr id="0" name=""/>
            <xdr:cNvGraphicFramePr/>
          </xdr:nvGraphicFramePr>
          <xdr:xfrm>
            <a:off x="0" y="0"/>
            <a:ext cx="0" cy="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mc:Fallback>
    </mc:AlternateContent>
    <xdr:clientData/>
  </xdr:absolute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sp macro="" textlink="">
      <cdr:nvSpPr>
        <cdr:cNvPr id="2" name="矩形 1">
          <a:extLst xmlns:a="http://schemas.openxmlformats.org/drawingml/2006/main">
            <a:ext uri="{FF2B5EF4-FFF2-40B4-BE49-F238E27FC236}">
              <a16:creationId xmlns:a16="http://schemas.microsoft.com/office/drawing/2014/main" id="{9367C21E-211C-4FBE-BCE3-45E6D19EFB87}"/>
            </a:ext>
          </a:extLst>
        </cdr:cNvPr>
        <cdr:cNvSpPr>
          <a:spLocks xmlns:a="http://schemas.openxmlformats.org/drawingml/2006/main" noTextEdit="1"/>
        </cdr:cNvSpPr>
      </cdr:nvSpPr>
      <cdr:spPr>
        <a:xfrm xmlns:a="http://schemas.openxmlformats.org/drawingml/2006/main">
          <a:off x="0" y="0"/>
          <a:ext cx="9299677" cy="6073468"/>
        </a:xfrm>
        <a:prstGeom xmlns:a="http://schemas.openxmlformats.org/drawingml/2006/main" prst="rect">
          <a:avLst/>
        </a:prstGeom>
        <a:solidFill xmlns:a="http://schemas.openxmlformats.org/drawingml/2006/main">
          <a:prstClr val="white"/>
        </a:solidFill>
        <a:ln xmlns:a="http://schemas.openxmlformats.org/drawingml/2006/main" w="1">
          <a:solidFill>
            <a:prstClr val="green"/>
          </a:solidFill>
        </a:ln>
      </cdr:spPr>
      <cdr:txBody>
        <a:bodyPr xmlns:a="http://schemas.openxmlformats.org/drawingml/2006/main" vertOverflow="clip" horzOverflow="clip"/>
        <a:lstStyle xmlns:a="http://schemas.openxmlformats.org/drawingml/2006/main"/>
        <a:p xmlns:a="http://schemas.openxmlformats.org/drawingml/2006/main">
          <a:r>
            <a:rPr lang="zh-CN" altLang="en-US" sz="1100"/>
            <a:t>此图表在您的 Excel 版本中不可用。
编辑此形状或将此工作簿转换为其他文件格式将永久破坏图表。</a:t>
          </a:r>
        </a:p>
      </cdr:txBody>
    </cdr:sp>
  </cdr:relSizeAnchor>
</c:userShape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7"/>
  <sheetViews>
    <sheetView tabSelected="1" zoomScaleNormal="100" workbookViewId="0">
      <pane ySplit="1" topLeftCell="A2" activePane="bottomLeft" state="frozen"/>
      <selection pane="bottomLeft" activeCell="M15" sqref="M15"/>
    </sheetView>
  </sheetViews>
  <sheetFormatPr defaultColWidth="21.25" defaultRowHeight="14.25"/>
  <cols>
    <col min="1" max="1" width="15.25" style="9" bestFit="1" customWidth="1"/>
    <col min="2" max="3" width="17.375" style="9" bestFit="1" customWidth="1"/>
    <col min="4" max="4" width="22.625" style="9" bestFit="1" customWidth="1"/>
    <col min="5" max="5" width="9" style="9" bestFit="1" customWidth="1"/>
    <col min="6" max="6" width="8.875" style="9" bestFit="1" customWidth="1"/>
    <col min="7" max="9" width="9" style="9" bestFit="1" customWidth="1"/>
    <col min="10" max="10" width="21.25" style="9"/>
    <col min="11" max="11" width="15.125" style="9" bestFit="1" customWidth="1"/>
    <col min="12" max="12" width="13" style="9" bestFit="1" customWidth="1"/>
    <col min="13" max="16384" width="21.25" style="9"/>
  </cols>
  <sheetData>
    <row r="1" spans="1:15">
      <c r="A1" s="8" t="s">
        <v>0</v>
      </c>
      <c r="B1" s="8" t="s">
        <v>1</v>
      </c>
      <c r="C1" s="8" t="s">
        <v>2</v>
      </c>
      <c r="D1" s="8" t="s">
        <v>8</v>
      </c>
      <c r="E1" s="8" t="s">
        <v>6</v>
      </c>
      <c r="F1" s="8" t="s">
        <v>4</v>
      </c>
      <c r="G1" s="18" t="s">
        <v>3</v>
      </c>
      <c r="H1" s="8" t="s">
        <v>34</v>
      </c>
      <c r="I1" s="8" t="s">
        <v>33</v>
      </c>
      <c r="K1" s="18" t="s">
        <v>48</v>
      </c>
      <c r="L1" s="18" t="s">
        <v>49</v>
      </c>
      <c r="M1" s="17"/>
      <c r="N1" s="8"/>
    </row>
    <row r="2" spans="1:15">
      <c r="A2" s="23" t="str">
        <f>"A股"&amp;" , "&amp;TEXT(SUM(E2:E24),"0.00%")</f>
        <v>A股 , 64.65%</v>
      </c>
      <c r="B2" s="23" t="str">
        <f>"大盘股"&amp;" , "&amp;TEXT(SUM(E2:E3),"0.00%")</f>
        <v>大盘股 , 5.96%</v>
      </c>
      <c r="C2" s="20" t="str">
        <f>"上证50"&amp;" , "&amp;TEXT(SUM(E2:E2),"0.00%")</f>
        <v>上证50 , 0.60%</v>
      </c>
      <c r="D2" s="10" t="s">
        <v>22</v>
      </c>
      <c r="E2" s="11">
        <f t="shared" ref="E2:E16" si="0">F2/$F$34</f>
        <v>5.9895826245441996E-3</v>
      </c>
      <c r="F2" s="2">
        <f>SUM(G2:I2)</f>
        <v>484.14</v>
      </c>
      <c r="G2" s="2">
        <v>484.14</v>
      </c>
      <c r="H2" s="2"/>
      <c r="I2" s="2"/>
      <c r="K2" s="18">
        <f>K4+K6+K8</f>
        <v>73497.960000000006</v>
      </c>
      <c r="L2" s="18">
        <f>$K$4+$K$6+$K$8+$K$10+$K$12</f>
        <v>815139.86</v>
      </c>
      <c r="M2" s="17"/>
      <c r="N2" s="8"/>
    </row>
    <row r="3" spans="1:15">
      <c r="A3" s="23"/>
      <c r="B3" s="23"/>
      <c r="C3" s="20" t="str">
        <f>"沪深300"&amp;" , "&amp;TEXT(SUM(E3:E3),"0.00%")</f>
        <v>沪深300 , 5.36%</v>
      </c>
      <c r="D3" s="10" t="s">
        <v>24</v>
      </c>
      <c r="E3" s="11">
        <f t="shared" si="0"/>
        <v>5.3569241450673107E-2</v>
      </c>
      <c r="F3" s="2">
        <f t="shared" ref="F3:F33" si="1">SUM(G3:I3)</f>
        <v>4330.0200000000004</v>
      </c>
      <c r="G3" s="2">
        <v>4330.0200000000004</v>
      </c>
      <c r="I3" s="2"/>
      <c r="K3" s="18" t="s">
        <v>23</v>
      </c>
      <c r="L3" s="18" t="s">
        <v>57</v>
      </c>
      <c r="M3" s="8"/>
      <c r="N3" s="1"/>
    </row>
    <row r="4" spans="1:15">
      <c r="A4" s="23"/>
      <c r="B4" s="23" t="str">
        <f>"中小盘股"&amp;" , "&amp;TEXT(SUM(E4:E8),"0.00%")</f>
        <v>中小盘股 , 21.41%</v>
      </c>
      <c r="C4" s="23" t="str">
        <f>"中证500"&amp;" , "&amp;TEXT(SUM(E4:E5),"0.00%")</f>
        <v>中证500 , 17.18%</v>
      </c>
      <c r="D4" s="10" t="s">
        <v>25</v>
      </c>
      <c r="E4" s="11">
        <f t="shared" si="0"/>
        <v>0.12964067700321438</v>
      </c>
      <c r="F4" s="2">
        <f t="shared" si="1"/>
        <v>10478.9</v>
      </c>
      <c r="G4" s="2">
        <v>10478.9</v>
      </c>
      <c r="K4" s="18">
        <v>72000</v>
      </c>
      <c r="L4" s="5">
        <f>F34-K4</f>
        <v>8830.3399999999965</v>
      </c>
      <c r="M4" s="8"/>
      <c r="N4" s="1"/>
    </row>
    <row r="5" spans="1:15">
      <c r="A5" s="23"/>
      <c r="B5" s="23"/>
      <c r="C5" s="23"/>
      <c r="D5" s="10" t="s">
        <v>26</v>
      </c>
      <c r="E5" s="11">
        <f t="shared" si="0"/>
        <v>4.2184902352260308E-2</v>
      </c>
      <c r="F5" s="2">
        <f t="shared" si="1"/>
        <v>3409.82</v>
      </c>
      <c r="G5" s="2">
        <v>3409.82</v>
      </c>
      <c r="H5" s="2"/>
      <c r="I5" s="2"/>
      <c r="K5" s="18" t="s">
        <v>43</v>
      </c>
      <c r="L5" s="18" t="s">
        <v>55</v>
      </c>
    </row>
    <row r="6" spans="1:15">
      <c r="A6" s="23"/>
      <c r="B6" s="23"/>
      <c r="C6" s="20" t="str">
        <f>"中证1000"&amp;" , "&amp;TEXT(SUM(E6:E6),"0.00%")</f>
        <v>中证1000 , 1.10%</v>
      </c>
      <c r="D6" s="10" t="s">
        <v>27</v>
      </c>
      <c r="E6" s="11">
        <f t="shared" si="0"/>
        <v>1.0982014921624726E-2</v>
      </c>
      <c r="F6" s="2">
        <f t="shared" si="1"/>
        <v>887.68</v>
      </c>
      <c r="G6" s="2">
        <v>887.68</v>
      </c>
      <c r="H6" s="2"/>
      <c r="I6" s="2"/>
      <c r="K6" s="18">
        <f>945.39-L6</f>
        <v>962.58</v>
      </c>
      <c r="L6" s="18">
        <f>-17.19</f>
        <v>-17.190000000000001</v>
      </c>
      <c r="N6" s="12"/>
      <c r="O6" s="12"/>
    </row>
    <row r="7" spans="1:15">
      <c r="A7" s="23"/>
      <c r="B7" s="23"/>
      <c r="C7" s="23" t="str">
        <f>"创业板"&amp;" , "&amp;TEXT(SUM(E7:E8),"0.00%")</f>
        <v>创业板 , 3.13%</v>
      </c>
      <c r="D7" s="10" t="s">
        <v>28</v>
      </c>
      <c r="E7" s="11">
        <f t="shared" si="0"/>
        <v>5.6721275699199089E-3</v>
      </c>
      <c r="F7" s="2">
        <f t="shared" si="1"/>
        <v>458.48</v>
      </c>
      <c r="G7" s="2">
        <v>458.48</v>
      </c>
      <c r="I7" s="2"/>
      <c r="K7" s="18" t="s">
        <v>44</v>
      </c>
      <c r="L7" s="18" t="s">
        <v>56</v>
      </c>
      <c r="O7" s="13"/>
    </row>
    <row r="8" spans="1:15">
      <c r="A8" s="23"/>
      <c r="B8" s="23"/>
      <c r="C8" s="23"/>
      <c r="D8" s="10" t="s">
        <v>9</v>
      </c>
      <c r="E8" s="11">
        <f t="shared" si="0"/>
        <v>2.5660414146470249E-2</v>
      </c>
      <c r="F8" s="2">
        <f t="shared" si="1"/>
        <v>2074.14</v>
      </c>
      <c r="G8" s="2">
        <v>2074.14</v>
      </c>
      <c r="H8" s="14"/>
      <c r="I8" s="2"/>
      <c r="K8" s="18">
        <f>523.56-L8</f>
        <v>535.38</v>
      </c>
      <c r="L8" s="18">
        <f>-11.82</f>
        <v>-11.82</v>
      </c>
      <c r="N8" s="12"/>
      <c r="O8" s="12"/>
    </row>
    <row r="9" spans="1:15">
      <c r="A9" s="23"/>
      <c r="B9" s="20" t="str">
        <f>"红利价值"&amp;" , "&amp;TEXT(SUM(E9:E9),"0.00%")</f>
        <v>红利价值 , 9.84%</v>
      </c>
      <c r="C9" s="20" t="str">
        <f>"中证红利"&amp;" , "&amp;TEXT(SUM(E9:E9),"0.00%")</f>
        <v>中证红利 , 9.84%</v>
      </c>
      <c r="D9" s="10" t="s">
        <v>10</v>
      </c>
      <c r="E9" s="11">
        <f t="shared" si="0"/>
        <v>9.8400922227965384E-2</v>
      </c>
      <c r="F9" s="2">
        <f t="shared" si="1"/>
        <v>7953.78</v>
      </c>
      <c r="G9" s="2">
        <v>7953.78</v>
      </c>
      <c r="H9" s="2"/>
      <c r="I9" s="2"/>
      <c r="K9" s="18" t="s">
        <v>45</v>
      </c>
      <c r="L9" s="18" t="s">
        <v>47</v>
      </c>
      <c r="O9" s="13"/>
    </row>
    <row r="10" spans="1:15">
      <c r="A10" s="23"/>
      <c r="B10" s="23" t="str">
        <f>"行业股"&amp;" , "&amp;TEXT(SUM(E10:E16),"0.00%")</f>
        <v>行业股 , 25.62%</v>
      </c>
      <c r="C10" s="20" t="str">
        <f>"养老产业"&amp;" , "&amp;TEXT(SUM(E10:E10),"0.00%")</f>
        <v>养老产业 , 7.36%</v>
      </c>
      <c r="D10" s="10" t="s">
        <v>11</v>
      </c>
      <c r="E10" s="11">
        <f t="shared" si="0"/>
        <v>7.3564456118828642E-2</v>
      </c>
      <c r="F10" s="2">
        <f t="shared" si="1"/>
        <v>5946.24</v>
      </c>
      <c r="G10" s="2">
        <v>5946.24</v>
      </c>
      <c r="H10" s="2"/>
      <c r="I10" s="2"/>
      <c r="K10" s="18">
        <v>615881.54</v>
      </c>
      <c r="L10" s="18">
        <v>19690.009999999998</v>
      </c>
      <c r="N10" s="12"/>
      <c r="O10" s="12"/>
    </row>
    <row r="11" spans="1:15">
      <c r="A11" s="23"/>
      <c r="B11" s="23"/>
      <c r="C11" s="20" t="str">
        <f>"全指医药"&amp;" , "&amp;TEXT(SUM(E11:E11),"0.00%")</f>
        <v>全指医药 , 6.74%</v>
      </c>
      <c r="D11" s="20" t="s">
        <v>7</v>
      </c>
      <c r="E11" s="11">
        <f t="shared" si="0"/>
        <v>6.7402289783761893E-2</v>
      </c>
      <c r="F11" s="2">
        <f t="shared" si="1"/>
        <v>5448.15</v>
      </c>
      <c r="G11" s="2">
        <v>5448.15</v>
      </c>
      <c r="I11" s="2"/>
      <c r="K11" s="18" t="s">
        <v>46</v>
      </c>
      <c r="L11" s="18" t="s">
        <v>47</v>
      </c>
      <c r="O11" s="13"/>
    </row>
    <row r="12" spans="1:15">
      <c r="A12" s="23"/>
      <c r="B12" s="23"/>
      <c r="C12" s="20" t="str">
        <f>"中证传媒"&amp;" , "&amp;TEXT(SUM(E12:E12),"0.00%")</f>
        <v>中证传媒 , 4.46%</v>
      </c>
      <c r="D12" s="10" t="s">
        <v>29</v>
      </c>
      <c r="E12" s="11">
        <f t="shared" si="0"/>
        <v>4.4558392306651193E-2</v>
      </c>
      <c r="F12" s="2">
        <f t="shared" si="1"/>
        <v>3601.67</v>
      </c>
      <c r="G12" s="2">
        <v>3601.67</v>
      </c>
      <c r="H12" s="2"/>
      <c r="I12" s="2"/>
      <c r="K12" s="18">
        <v>125760.36</v>
      </c>
      <c r="L12" s="18">
        <v>2836.62</v>
      </c>
      <c r="N12" s="12"/>
      <c r="O12" s="12"/>
    </row>
    <row r="13" spans="1:15">
      <c r="A13" s="23"/>
      <c r="B13" s="23"/>
      <c r="C13" s="20" t="str">
        <f>"中证环保"&amp;" , "&amp;TEXT(SUM(E13:E13),"0.00%")</f>
        <v>中证环保 , 4.42%</v>
      </c>
      <c r="D13" s="10" t="s">
        <v>30</v>
      </c>
      <c r="E13" s="11">
        <f t="shared" si="0"/>
        <v>4.416485196029115E-2</v>
      </c>
      <c r="F13" s="2">
        <f t="shared" si="1"/>
        <v>3569.86</v>
      </c>
      <c r="G13" s="2">
        <v>3569.86</v>
      </c>
      <c r="H13" s="2"/>
      <c r="O13" s="13"/>
    </row>
    <row r="14" spans="1:15">
      <c r="A14" s="23"/>
      <c r="B14" s="23"/>
      <c r="C14" s="20" t="str">
        <f>"全指消费"&amp;" , "&amp;TEXT(SUM(E14:E14),"0.00%")</f>
        <v>全指消费 , 0.76%</v>
      </c>
      <c r="D14" s="10" t="s">
        <v>12</v>
      </c>
      <c r="E14" s="11">
        <f t="shared" si="0"/>
        <v>7.6353755285453453E-3</v>
      </c>
      <c r="F14" s="2">
        <f t="shared" si="1"/>
        <v>617.16999999999996</v>
      </c>
      <c r="G14" s="2">
        <v>617.16999999999996</v>
      </c>
      <c r="I14" s="2"/>
      <c r="K14" s="18" t="s">
        <v>54</v>
      </c>
      <c r="L14" s="18" t="s">
        <v>53</v>
      </c>
      <c r="N14" s="12"/>
      <c r="O14" s="12"/>
    </row>
    <row r="15" spans="1:15">
      <c r="A15" s="23"/>
      <c r="B15" s="23"/>
      <c r="C15" s="20" t="str">
        <f>"金融地产"&amp;" , "&amp;TEXT(SUM(E15:E15),"0.00%")</f>
        <v>金融地产 , 1.21%</v>
      </c>
      <c r="D15" s="10" t="s">
        <v>13</v>
      </c>
      <c r="E15" s="11">
        <f t="shared" si="0"/>
        <v>1.2147913766043791E-2</v>
      </c>
      <c r="F15" s="2">
        <f t="shared" si="1"/>
        <v>981.92</v>
      </c>
      <c r="G15" s="2">
        <v>981.92</v>
      </c>
      <c r="H15" s="2"/>
      <c r="K15" s="18" t="s">
        <v>50</v>
      </c>
      <c r="L15" s="1">
        <f>SUM($F$2:$F$29)/($K$2+$K$10+K$12)</f>
        <v>7.0295495057743823E-2</v>
      </c>
      <c r="O15" s="13"/>
    </row>
    <row r="16" spans="1:15">
      <c r="A16" s="23"/>
      <c r="B16" s="23"/>
      <c r="C16" s="20" t="str">
        <f>"证券公司"&amp;" , "&amp;TEXT(SUM(E16:E16),"0.00%")</f>
        <v>证券公司 , 0.68%</v>
      </c>
      <c r="D16" s="10" t="s">
        <v>31</v>
      </c>
      <c r="E16" s="11">
        <f t="shared" si="0"/>
        <v>6.7746838625199401E-3</v>
      </c>
      <c r="F16" s="2">
        <f t="shared" si="1"/>
        <v>547.6</v>
      </c>
      <c r="G16" s="2">
        <v>547.6</v>
      </c>
      <c r="H16" s="14"/>
      <c r="I16" s="2"/>
      <c r="K16" s="18" t="s">
        <v>52</v>
      </c>
      <c r="L16" s="1">
        <f>SUM($F$30:$F$32)/($K$2+$K$10+K$12)</f>
        <v>3.2260476134733495E-3</v>
      </c>
      <c r="M16" s="2"/>
      <c r="N16" s="12"/>
      <c r="O16" s="12"/>
    </row>
    <row r="17" spans="1:15" s="19" customFormat="1">
      <c r="A17" s="23"/>
      <c r="B17" s="23" t="str">
        <f>"螺丝钉定投"&amp;" , "&amp;TEXT(SUM(E17:E24),"0.00%")</f>
        <v>螺丝钉定投 , 1.82%</v>
      </c>
      <c r="C17" s="21" t="str">
        <f>"短融债"&amp;" , "&amp;TEXT(SUM(E17:E17),"0.00%")</f>
        <v>短融债 , 0.43%</v>
      </c>
      <c r="D17" s="20" t="s">
        <v>35</v>
      </c>
      <c r="E17" s="11">
        <f t="shared" ref="E17:E24" si="2">F17/$F$34</f>
        <v>4.2842173248312451E-3</v>
      </c>
      <c r="F17" s="2">
        <f t="shared" si="1"/>
        <v>346.29474299999998</v>
      </c>
      <c r="G17" s="2"/>
      <c r="H17" s="2">
        <f>($K$6 + $L$6) * 0.2253</f>
        <v>212.99636699999999</v>
      </c>
      <c r="I17" s="2">
        <f xml:space="preserve"> ($K$8 + $L$8) * 0.2546</f>
        <v>133.29837599999999</v>
      </c>
      <c r="K17" s="18" t="s">
        <v>51</v>
      </c>
      <c r="L17" s="1">
        <f>(F33+SUM($K$10:$K$12))/($K$2+$K$10+K$12)</f>
        <v>0.93547369895517074</v>
      </c>
      <c r="M17" s="9"/>
      <c r="N17" s="12"/>
      <c r="O17" s="12"/>
    </row>
    <row r="18" spans="1:15">
      <c r="A18" s="23"/>
      <c r="B18" s="23"/>
      <c r="C18" s="21" t="str">
        <f>"香港中小"&amp;" , "&amp;TEXT(SUM(E18:E18),"0.00%")</f>
        <v>香港中小 , 0.44%</v>
      </c>
      <c r="D18" s="20" t="s">
        <v>36</v>
      </c>
      <c r="E18" s="11">
        <f t="shared" si="2"/>
        <v>4.3575059810462263E-3</v>
      </c>
      <c r="F18" s="2">
        <f t="shared" si="1"/>
        <v>352.21868999999998</v>
      </c>
      <c r="G18" s="2"/>
      <c r="H18" s="2">
        <f>($K$6 + $L$6) * 0.2314</f>
        <v>218.76324599999998</v>
      </c>
      <c r="I18" s="2">
        <f xml:space="preserve"> ($K$8 + $L$8) * 0.2549</f>
        <v>133.455444</v>
      </c>
      <c r="K18" s="19"/>
      <c r="L18" s="19"/>
      <c r="N18" s="12"/>
      <c r="O18" s="13"/>
    </row>
    <row r="19" spans="1:15">
      <c r="A19" s="23"/>
      <c r="B19" s="23"/>
      <c r="C19" s="21" t="str">
        <f>"上证50AH"&amp;" , "&amp;TEXT(SUM(E19:E19),"0.00%")</f>
        <v>上证50AH , 0.32%</v>
      </c>
      <c r="D19" s="20" t="s">
        <v>37</v>
      </c>
      <c r="E19" s="11">
        <f t="shared" si="2"/>
        <v>3.2184956910981696E-3</v>
      </c>
      <c r="F19" s="2">
        <f t="shared" si="1"/>
        <v>260.15210100000002</v>
      </c>
      <c r="G19" s="2"/>
      <c r="H19" s="2">
        <f>($K$6 + $L$6) * 0.1915</f>
        <v>181.04218499999999</v>
      </c>
      <c r="I19" s="2">
        <f xml:space="preserve"> ($K$8 + $L$8) * 0.1511</f>
        <v>79.109915999999998</v>
      </c>
      <c r="K19" s="19"/>
      <c r="L19" s="19"/>
      <c r="M19" s="19"/>
      <c r="N19" s="12"/>
    </row>
    <row r="20" spans="1:15">
      <c r="A20" s="23"/>
      <c r="B20" s="23"/>
      <c r="C20" s="21" t="str">
        <f>"中证红利"&amp;" , "&amp;TEXT(SUM(E20:E20),"0.00%")</f>
        <v>中证红利 , 0.36%</v>
      </c>
      <c r="D20" s="20" t="s">
        <v>38</v>
      </c>
      <c r="E20" s="11">
        <f t="shared" si="2"/>
        <v>3.5508198406687388E-3</v>
      </c>
      <c r="F20" s="2">
        <f t="shared" si="1"/>
        <v>287.01397499999996</v>
      </c>
      <c r="G20" s="2"/>
      <c r="H20" s="2">
        <f>($K$6 + $L$6) * 0.1961</f>
        <v>185.39097899999999</v>
      </c>
      <c r="I20" s="2">
        <f xml:space="preserve"> ($K$8 + $L$8) * 0.1941</f>
        <v>101.62299599999999</v>
      </c>
      <c r="K20" s="19"/>
      <c r="L20" s="19"/>
      <c r="N20" s="12"/>
      <c r="O20" s="13"/>
    </row>
    <row r="21" spans="1:15">
      <c r="A21" s="23"/>
      <c r="B21" s="23"/>
      <c r="C21" s="21" t="str">
        <f>"500低波动"&amp;" , "&amp;TEXT(SUM(E21:E21),"0.00%")</f>
        <v>500低波动 , 0.04%</v>
      </c>
      <c r="D21" s="20" t="s">
        <v>39</v>
      </c>
      <c r="E21" s="11">
        <f t="shared" si="2"/>
        <v>4.1754646831870318E-4</v>
      </c>
      <c r="F21" s="2">
        <f t="shared" si="1"/>
        <v>33.750423000000005</v>
      </c>
      <c r="G21" s="2"/>
      <c r="H21" s="2">
        <f>($K$6 + $L$6) * 0.0357</f>
        <v>33.750423000000005</v>
      </c>
      <c r="I21" s="22"/>
      <c r="K21" s="19"/>
      <c r="L21" s="19"/>
      <c r="N21" s="12"/>
    </row>
    <row r="22" spans="1:15">
      <c r="A22" s="23"/>
      <c r="B22" s="23"/>
      <c r="C22" s="23" t="str">
        <f>"300价值"&amp;" , "&amp;TEXT(SUM(E22:E23),"0.00%")</f>
        <v>300价值 , 0.19%</v>
      </c>
      <c r="D22" s="20" t="s">
        <v>41</v>
      </c>
      <c r="E22" s="11">
        <f t="shared" si="2"/>
        <v>9.5145804162150016E-4</v>
      </c>
      <c r="F22" s="2">
        <f t="shared" si="1"/>
        <v>76.906677000000002</v>
      </c>
      <c r="G22" s="2"/>
      <c r="H22" s="2">
        <f>($K$6 + $L$6) * 0.0407</f>
        <v>38.477373</v>
      </c>
      <c r="I22" s="2">
        <f xml:space="preserve"> ($K$8 + $L$8) * 0.0734</f>
        <v>38.429304000000002</v>
      </c>
      <c r="K22" s="19"/>
      <c r="L22" s="19"/>
      <c r="O22" s="13"/>
    </row>
    <row r="23" spans="1:15">
      <c r="A23" s="23"/>
      <c r="B23" s="23"/>
      <c r="C23" s="23"/>
      <c r="D23" s="20" t="s">
        <v>40</v>
      </c>
      <c r="E23" s="11">
        <f t="shared" si="2"/>
        <v>9.3121575388647397E-4</v>
      </c>
      <c r="F23" s="2">
        <f t="shared" si="1"/>
        <v>75.270486000000005</v>
      </c>
      <c r="G23" s="2"/>
      <c r="H23" s="2">
        <f>($K$6 + $L$6) * 0.0398</f>
        <v>37.626522000000001</v>
      </c>
      <c r="I23" s="2">
        <f xml:space="preserve"> ($K$8 + $L$8) * 0.0719</f>
        <v>37.643963999999997</v>
      </c>
      <c r="K23" s="20"/>
      <c r="L23" s="2"/>
      <c r="M23" s="2"/>
      <c r="N23" s="12"/>
      <c r="O23" s="12"/>
    </row>
    <row r="24" spans="1:15">
      <c r="A24" s="23"/>
      <c r="B24" s="23"/>
      <c r="C24" s="21" t="str">
        <f>"基本面120"&amp;" , "&amp;TEXT(SUM(E24:E24),"0.00%")</f>
        <v>基本面120 , 0.05%</v>
      </c>
      <c r="D24" s="20" t="s">
        <v>42</v>
      </c>
      <c r="E24" s="11">
        <f t="shared" si="2"/>
        <v>4.6199119043666034E-4</v>
      </c>
      <c r="F24" s="2">
        <f t="shared" si="1"/>
        <v>37.342905000000002</v>
      </c>
      <c r="G24" s="2"/>
      <c r="H24" s="2">
        <f>($K$6 + $L$6) * 0.0395</f>
        <v>37.342905000000002</v>
      </c>
      <c r="I24" s="2"/>
      <c r="O24" s="13"/>
    </row>
    <row r="25" spans="1:15">
      <c r="A25" s="23" t="str">
        <f>"海外新兴"&amp;" , "&amp;TEXT(SUM(E25:E26),"0.00%")</f>
        <v>海外新兴 , 1.62%</v>
      </c>
      <c r="B25" s="20" t="str">
        <f>"香港"&amp;" , "&amp;TEXT(SUM(E25:E25),"0.00%")</f>
        <v>香港 , 0.53%</v>
      </c>
      <c r="C25" s="20" t="str">
        <f>"恒生"&amp;" , "&amp;TEXT(SUM(E25:E25),"0.00%")</f>
        <v>恒生 , 0.53%</v>
      </c>
      <c r="D25" s="10" t="s">
        <v>14</v>
      </c>
      <c r="E25" s="11">
        <f t="shared" ref="E25:E33" si="3">F25/$F$34</f>
        <v>5.3079078969604735E-3</v>
      </c>
      <c r="F25" s="2">
        <f t="shared" si="1"/>
        <v>429.04</v>
      </c>
      <c r="G25" s="2">
        <v>429.04</v>
      </c>
      <c r="H25" s="2"/>
      <c r="I25" s="2"/>
      <c r="N25" s="12"/>
      <c r="O25" s="12"/>
    </row>
    <row r="26" spans="1:15">
      <c r="A26" s="23"/>
      <c r="B26" s="20" t="str">
        <f>"海外互联"&amp;" , "&amp;TEXT(SUM(E26:E26),"0.00%")</f>
        <v>海外互联 , 1.09%</v>
      </c>
      <c r="C26" s="20" t="str">
        <f>"海外互联网"&amp;" , "&amp;TEXT(SUM(E26:E26),"0.00%")</f>
        <v>海外互联网 , 1.09%</v>
      </c>
      <c r="D26" s="10" t="s">
        <v>15</v>
      </c>
      <c r="E26" s="11">
        <f t="shared" si="3"/>
        <v>1.0935374019211103E-2</v>
      </c>
      <c r="F26" s="2">
        <f t="shared" si="1"/>
        <v>883.91</v>
      </c>
      <c r="G26" s="2">
        <v>883.91</v>
      </c>
      <c r="H26" s="14"/>
      <c r="I26" s="2"/>
      <c r="O26" s="13"/>
    </row>
    <row r="27" spans="1:15">
      <c r="A27" s="10" t="str">
        <f>"海外成熟"&amp;" , "&amp;TEXT(SUM(E27:E27),"0.00%")</f>
        <v>海外成熟 , 2.59%</v>
      </c>
      <c r="B27" s="20" t="str">
        <f>"海外成熟"&amp;" , "&amp;TEXT(SUM(E27:E27),"0.00%")</f>
        <v>海外成熟 , 2.59%</v>
      </c>
      <c r="C27" s="20" t="str">
        <f>"德国30"&amp;" , "&amp;TEXT(SUM(E27:E27),"0.00%")</f>
        <v>德国30 , 2.59%</v>
      </c>
      <c r="D27" s="10" t="s">
        <v>16</v>
      </c>
      <c r="E27" s="11">
        <f t="shared" si="3"/>
        <v>2.5928753980250484E-2</v>
      </c>
      <c r="F27" s="2">
        <f t="shared" si="1"/>
        <v>2095.83</v>
      </c>
      <c r="G27" s="2">
        <v>2095.83</v>
      </c>
      <c r="H27" s="14"/>
      <c r="I27" s="2"/>
      <c r="J27" s="11"/>
      <c r="N27" s="12"/>
      <c r="O27" s="12"/>
    </row>
    <row r="28" spans="1:15">
      <c r="A28" s="23" t="str">
        <f>"商品"&amp;" , "&amp;TEXT(SUM(E28:E29),"0.00%")</f>
        <v>商品 , 2.02%</v>
      </c>
      <c r="B28" s="20" t="str">
        <f>"原油"&amp;" , "&amp;TEXT(SUM(E28:E28),"0.00%")</f>
        <v>原油 , 1.54%</v>
      </c>
      <c r="C28" s="20" t="str">
        <f>"原油"&amp;" , "&amp;TEXT(SUM(E28:E28),"0.00%")</f>
        <v>原油 , 1.54%</v>
      </c>
      <c r="D28" s="10" t="s">
        <v>17</v>
      </c>
      <c r="E28" s="11">
        <f t="shared" si="3"/>
        <v>1.5358960509135556E-2</v>
      </c>
      <c r="F28" s="2">
        <f t="shared" si="1"/>
        <v>1241.47</v>
      </c>
      <c r="G28" s="2">
        <v>1241.47</v>
      </c>
      <c r="H28" s="14"/>
      <c r="I28" s="2"/>
      <c r="J28" s="11"/>
      <c r="O28" s="13"/>
    </row>
    <row r="29" spans="1:15">
      <c r="A29" s="23"/>
      <c r="B29" s="20" t="str">
        <f>"黄金"&amp;" , "&amp;TEXT(SUM(E29:E29),"0.00%")</f>
        <v>黄金 , 0.48%</v>
      </c>
      <c r="C29" s="20" t="str">
        <f>"黄金"&amp;" , "&amp;TEXT(SUM(E29:E29),"0.00%")</f>
        <v>黄金 , 0.48%</v>
      </c>
      <c r="D29" s="10" t="s">
        <v>32</v>
      </c>
      <c r="E29" s="11">
        <f t="shared" si="3"/>
        <v>4.8483032485079243E-3</v>
      </c>
      <c r="F29" s="2">
        <f t="shared" si="1"/>
        <v>391.89</v>
      </c>
      <c r="G29" s="2">
        <v>391.89</v>
      </c>
      <c r="H29" s="14"/>
      <c r="I29" s="2"/>
      <c r="N29" s="12"/>
      <c r="O29" s="12"/>
    </row>
    <row r="30" spans="1:15">
      <c r="A30" s="23" t="str">
        <f>"债券"&amp;" , "&amp;TEXT(SUM(E30:E32),"0.00%")</f>
        <v>债券 , 3.25%</v>
      </c>
      <c r="B30" s="23" t="str">
        <f>"国内债券"&amp;" , "&amp;TEXT(SUM(E30:E32),"0.00%")</f>
        <v>国内债券 , 3.25%</v>
      </c>
      <c r="C30" s="23" t="str">
        <f>"可转债"&amp;" , "&amp;TEXT(SUM(E30:E32),"0.00%")</f>
        <v>可转债 , 3.25%</v>
      </c>
      <c r="D30" s="10" t="s">
        <v>18</v>
      </c>
      <c r="E30" s="11">
        <f t="shared" si="3"/>
        <v>2.1951905682940344E-2</v>
      </c>
      <c r="F30" s="2">
        <f t="shared" si="1"/>
        <v>1774.38</v>
      </c>
      <c r="G30" s="2">
        <v>1774.38</v>
      </c>
      <c r="H30" s="2"/>
      <c r="I30" s="2"/>
      <c r="O30" s="13"/>
    </row>
    <row r="31" spans="1:15">
      <c r="A31" s="23"/>
      <c r="B31" s="23"/>
      <c r="C31" s="23"/>
      <c r="D31" s="10" t="s">
        <v>19</v>
      </c>
      <c r="E31" s="11">
        <f t="shared" si="3"/>
        <v>5.452284377376119E-3</v>
      </c>
      <c r="F31" s="2">
        <f t="shared" si="1"/>
        <v>440.71</v>
      </c>
      <c r="G31" s="2">
        <v>440.71</v>
      </c>
      <c r="H31" s="2"/>
      <c r="I31" s="2"/>
      <c r="N31" s="12"/>
      <c r="O31" s="12"/>
    </row>
    <row r="32" spans="1:15">
      <c r="A32" s="23"/>
      <c r="B32" s="23"/>
      <c r="C32" s="23"/>
      <c r="D32" s="10" t="s">
        <v>20</v>
      </c>
      <c r="E32" s="11">
        <f t="shared" si="3"/>
        <v>5.1291383903618367E-3</v>
      </c>
      <c r="F32" s="2">
        <f t="shared" si="1"/>
        <v>414.59</v>
      </c>
      <c r="G32" s="2">
        <v>414.59</v>
      </c>
      <c r="H32" s="2"/>
      <c r="I32" s="2"/>
      <c r="O32" s="13"/>
    </row>
    <row r="33" spans="1:16">
      <c r="A33" s="20" t="str">
        <f>"现金"&amp;" , "&amp;TEXT(SUM(E33:E33),"0.00%")</f>
        <v>现金 , 25.86%</v>
      </c>
      <c r="B33" s="10" t="str">
        <f>"低风险理财"&amp;" , "&amp;TEXT(SUM(E33:E33),"0.00%")</f>
        <v>低风险理财 , 25.86%</v>
      </c>
      <c r="C33" s="20" t="str">
        <f>"货币基金"&amp;" , "&amp;TEXT(SUM(E33:E33),"0.00%")</f>
        <v>货币基金 , 25.86%</v>
      </c>
      <c r="D33" s="10" t="s">
        <v>21</v>
      </c>
      <c r="E33" s="11">
        <f t="shared" si="3"/>
        <v>0.25856627598003423</v>
      </c>
      <c r="F33" s="2">
        <f t="shared" si="1"/>
        <v>20900</v>
      </c>
      <c r="G33" s="2">
        <v>20900</v>
      </c>
      <c r="H33" s="8"/>
      <c r="I33" s="2"/>
      <c r="N33" s="12"/>
      <c r="O33" s="12"/>
    </row>
    <row r="34" spans="1:16">
      <c r="D34" s="8" t="s">
        <v>4</v>
      </c>
      <c r="E34" s="13">
        <f>SUM(E2:E33)</f>
        <v>0.99999999999999989</v>
      </c>
      <c r="F34" s="2">
        <f>SUM(F2:F33)</f>
        <v>80830.34</v>
      </c>
      <c r="H34" s="8"/>
      <c r="I34" s="8"/>
      <c r="O34" s="13"/>
    </row>
    <row r="35" spans="1:16">
      <c r="D35" s="8" t="s">
        <v>5</v>
      </c>
      <c r="E35" s="15">
        <f>F34/$K$2-1</f>
        <v>9.9763041042227441E-2</v>
      </c>
      <c r="I35" s="8"/>
      <c r="N35" s="12"/>
      <c r="O35" s="12"/>
    </row>
    <row r="36" spans="1:16">
      <c r="C36" s="2"/>
      <c r="P36" s="13"/>
    </row>
    <row r="37" spans="1:16">
      <c r="A37" s="16"/>
      <c r="B37" s="8"/>
      <c r="C37" s="2"/>
      <c r="O37" s="12"/>
    </row>
    <row r="38" spans="1:16">
      <c r="C38" s="2"/>
      <c r="D38" s="8"/>
      <c r="E38" s="8"/>
      <c r="F38" s="8"/>
      <c r="P38" s="13"/>
    </row>
    <row r="39" spans="1:16">
      <c r="C39" s="2"/>
      <c r="D39" s="1"/>
      <c r="E39" s="1"/>
      <c r="F39" s="1"/>
      <c r="O39" s="12"/>
    </row>
    <row r="40" spans="1:16">
      <c r="C40" s="2"/>
      <c r="D40" s="1"/>
      <c r="E40" s="1"/>
      <c r="F40" s="1"/>
      <c r="P40" s="13"/>
    </row>
    <row r="41" spans="1:16">
      <c r="A41" s="8"/>
      <c r="B41" s="2"/>
      <c r="C41" s="2"/>
      <c r="D41" s="1"/>
      <c r="E41" s="1"/>
      <c r="F41" s="1"/>
    </row>
    <row r="42" spans="1:16">
      <c r="A42" s="8"/>
      <c r="B42" s="2"/>
      <c r="C42" s="2"/>
      <c r="D42" s="1"/>
      <c r="E42" s="1"/>
      <c r="F42" s="1"/>
    </row>
    <row r="43" spans="1:16">
      <c r="A43" s="8"/>
      <c r="B43" s="2"/>
      <c r="C43" s="2"/>
      <c r="D43" s="1"/>
      <c r="E43" s="1"/>
      <c r="F43" s="1"/>
    </row>
    <row r="44" spans="1:16">
      <c r="A44" s="8"/>
      <c r="B44" s="2"/>
      <c r="C44" s="2"/>
      <c r="D44" s="1"/>
      <c r="E44" s="1"/>
      <c r="F44" s="1"/>
    </row>
    <row r="45" spans="1:16">
      <c r="A45" s="8"/>
      <c r="B45" s="2"/>
      <c r="C45" s="2"/>
      <c r="D45" s="1"/>
      <c r="E45" s="1"/>
      <c r="F45" s="1"/>
    </row>
    <row r="46" spans="1:16">
      <c r="A46" s="8"/>
      <c r="B46" s="2"/>
      <c r="C46" s="2"/>
      <c r="D46" s="1"/>
      <c r="E46" s="1"/>
      <c r="F46" s="1"/>
    </row>
    <row r="47" spans="1:16">
      <c r="A47" s="8"/>
      <c r="B47" s="2"/>
      <c r="C47" s="2"/>
      <c r="D47" s="1"/>
      <c r="E47" s="1"/>
      <c r="F47" s="1"/>
    </row>
    <row r="48" spans="1:16">
      <c r="A48" s="8"/>
      <c r="B48" s="2"/>
      <c r="C48" s="2"/>
      <c r="D48" s="1"/>
      <c r="E48" s="1"/>
      <c r="F48" s="1"/>
    </row>
    <row r="49" spans="1:6">
      <c r="A49" s="8"/>
      <c r="B49" s="2"/>
      <c r="C49" s="2"/>
      <c r="D49" s="1"/>
      <c r="E49" s="1"/>
      <c r="F49" s="1"/>
    </row>
    <row r="50" spans="1:6">
      <c r="A50" s="8"/>
      <c r="B50" s="2"/>
      <c r="C50" s="2"/>
      <c r="D50" s="1"/>
      <c r="E50" s="1"/>
      <c r="F50" s="1"/>
    </row>
    <row r="51" spans="1:6">
      <c r="A51" s="8"/>
      <c r="B51" s="2"/>
      <c r="C51" s="2"/>
      <c r="D51" s="1"/>
      <c r="E51" s="1"/>
      <c r="F51" s="1"/>
    </row>
    <row r="52" spans="1:6">
      <c r="A52" s="8"/>
      <c r="B52" s="2"/>
      <c r="C52" s="2"/>
      <c r="D52" s="1"/>
      <c r="E52" s="1"/>
      <c r="F52" s="1"/>
    </row>
    <row r="53" spans="1:6">
      <c r="A53" s="8"/>
      <c r="B53" s="2"/>
      <c r="C53" s="2"/>
      <c r="D53" s="1"/>
      <c r="E53" s="1"/>
      <c r="F53" s="1"/>
    </row>
    <row r="54" spans="1:6">
      <c r="A54" s="8"/>
      <c r="B54" s="2"/>
      <c r="C54" s="2"/>
      <c r="D54" s="1"/>
      <c r="E54" s="1"/>
      <c r="F54" s="1"/>
    </row>
    <row r="55" spans="1:6">
      <c r="A55" s="8"/>
      <c r="B55" s="2"/>
      <c r="C55" s="2"/>
      <c r="D55" s="1"/>
      <c r="E55" s="1"/>
      <c r="F55" s="1"/>
    </row>
    <row r="56" spans="1:6">
      <c r="A56" s="8"/>
      <c r="B56" s="2"/>
      <c r="C56" s="4"/>
      <c r="D56" s="1"/>
      <c r="E56" s="1"/>
      <c r="F56" s="1"/>
    </row>
    <row r="57" spans="1:6">
      <c r="A57" s="8"/>
      <c r="B57" s="2"/>
      <c r="D57" s="1"/>
      <c r="E57" s="1"/>
      <c r="F57" s="1"/>
    </row>
    <row r="58" spans="1:6">
      <c r="A58" s="8"/>
      <c r="B58" s="2"/>
      <c r="D58" s="1"/>
      <c r="E58" s="1"/>
      <c r="F58" s="1"/>
    </row>
    <row r="59" spans="1:6">
      <c r="A59" s="8"/>
      <c r="B59" s="7"/>
      <c r="D59" s="1"/>
      <c r="E59" s="1"/>
      <c r="F59" s="1"/>
    </row>
    <row r="60" spans="1:6">
      <c r="A60" s="8"/>
      <c r="B60" s="8"/>
      <c r="C60" s="8"/>
      <c r="D60" s="1"/>
      <c r="E60" s="1"/>
      <c r="F60" s="1"/>
    </row>
    <row r="61" spans="1:6">
      <c r="A61" s="8"/>
      <c r="B61" s="8"/>
      <c r="C61" s="2"/>
      <c r="D61" s="1"/>
      <c r="E61" s="1"/>
      <c r="F61" s="1"/>
    </row>
    <row r="62" spans="1:6">
      <c r="A62" s="8"/>
      <c r="B62" s="8"/>
      <c r="C62" s="2"/>
      <c r="D62" s="1"/>
      <c r="E62" s="1"/>
      <c r="F62" s="1"/>
    </row>
    <row r="63" spans="1:6">
      <c r="A63" s="8"/>
      <c r="C63" s="2"/>
      <c r="D63" s="3"/>
      <c r="E63" s="8"/>
    </row>
    <row r="64" spans="1:6">
      <c r="C64" s="2"/>
    </row>
    <row r="65" spans="1:4">
      <c r="C65" s="2"/>
    </row>
    <row r="66" spans="1:4">
      <c r="B66" s="8"/>
      <c r="C66" s="2"/>
    </row>
    <row r="67" spans="1:4">
      <c r="A67" s="8"/>
      <c r="B67" s="8"/>
      <c r="C67" s="2"/>
      <c r="D67" s="8"/>
    </row>
    <row r="68" spans="1:4">
      <c r="A68" s="8"/>
      <c r="B68" s="8"/>
      <c r="C68" s="2"/>
      <c r="D68" s="1"/>
    </row>
    <row r="69" spans="1:4">
      <c r="A69" s="8"/>
      <c r="B69" s="8"/>
      <c r="C69" s="2"/>
      <c r="D69" s="1"/>
    </row>
    <row r="70" spans="1:4">
      <c r="A70" s="8"/>
      <c r="B70" s="8"/>
      <c r="C70" s="2"/>
      <c r="D70" s="1"/>
    </row>
    <row r="71" spans="1:4">
      <c r="A71" s="8"/>
      <c r="B71" s="8"/>
      <c r="C71" s="2"/>
      <c r="D71" s="1"/>
    </row>
    <row r="72" spans="1:4">
      <c r="A72" s="8"/>
      <c r="B72" s="8"/>
      <c r="C72" s="2"/>
      <c r="D72" s="1"/>
    </row>
    <row r="73" spans="1:4">
      <c r="A73" s="8"/>
      <c r="B73" s="8"/>
      <c r="C73" s="2"/>
      <c r="D73" s="1"/>
    </row>
    <row r="74" spans="1:4">
      <c r="A74" s="8"/>
      <c r="B74" s="8"/>
      <c r="C74" s="2"/>
      <c r="D74" s="1"/>
    </row>
    <row r="75" spans="1:4">
      <c r="A75" s="8"/>
      <c r="B75" s="8"/>
      <c r="C75" s="2"/>
      <c r="D75" s="1"/>
    </row>
    <row r="76" spans="1:4">
      <c r="A76" s="8"/>
      <c r="B76" s="8"/>
      <c r="C76" s="5"/>
      <c r="D76" s="1"/>
    </row>
    <row r="77" spans="1:4">
      <c r="A77" s="8"/>
      <c r="B77" s="8"/>
      <c r="C77" s="2"/>
      <c r="D77" s="1"/>
    </row>
    <row r="78" spans="1:4">
      <c r="A78" s="8"/>
      <c r="B78" s="8"/>
      <c r="C78" s="2"/>
      <c r="D78" s="1"/>
    </row>
    <row r="79" spans="1:4">
      <c r="A79" s="8"/>
      <c r="B79" s="8"/>
      <c r="C79" s="2"/>
      <c r="D79" s="1"/>
    </row>
    <row r="80" spans="1:4">
      <c r="A80" s="8"/>
      <c r="B80" s="17"/>
      <c r="C80" s="2"/>
      <c r="D80" s="1"/>
    </row>
    <row r="81" spans="1:4">
      <c r="A81" s="17"/>
      <c r="B81" s="8"/>
      <c r="C81" s="2"/>
      <c r="D81" s="1"/>
    </row>
    <row r="82" spans="1:4">
      <c r="A82" s="8"/>
      <c r="B82" s="8"/>
      <c r="C82" s="2"/>
      <c r="D82" s="1"/>
    </row>
    <row r="83" spans="1:4">
      <c r="A83" s="8"/>
      <c r="B83" s="8"/>
      <c r="C83" s="2"/>
      <c r="D83" s="1"/>
    </row>
    <row r="84" spans="1:4">
      <c r="A84" s="8"/>
      <c r="B84" s="8"/>
      <c r="C84" s="2"/>
      <c r="D84" s="1"/>
    </row>
    <row r="85" spans="1:4">
      <c r="A85" s="8"/>
      <c r="B85" s="8"/>
      <c r="C85" s="2"/>
      <c r="D85" s="1"/>
    </row>
    <row r="86" spans="1:4">
      <c r="A86" s="8"/>
      <c r="B86" s="8"/>
      <c r="C86" s="2"/>
      <c r="D86" s="1"/>
    </row>
    <row r="87" spans="1:4">
      <c r="A87" s="8"/>
      <c r="B87" s="8"/>
      <c r="C87" s="2"/>
      <c r="D87" s="1"/>
    </row>
    <row r="88" spans="1:4">
      <c r="A88" s="8"/>
      <c r="B88" s="8"/>
      <c r="C88" s="2"/>
      <c r="D88" s="1"/>
    </row>
    <row r="89" spans="1:4">
      <c r="A89" s="8"/>
      <c r="B89" s="8"/>
      <c r="C89" s="2"/>
      <c r="D89" s="1"/>
    </row>
    <row r="90" spans="1:4">
      <c r="A90" s="8"/>
      <c r="B90" s="8"/>
      <c r="C90" s="2"/>
      <c r="D90" s="1"/>
    </row>
    <row r="91" spans="1:4">
      <c r="A91" s="8"/>
      <c r="B91" s="8"/>
      <c r="D91" s="1"/>
    </row>
    <row r="92" spans="1:4">
      <c r="A92" s="8"/>
      <c r="B92" s="8"/>
      <c r="D92" s="1"/>
    </row>
    <row r="93" spans="1:4">
      <c r="A93" s="8"/>
      <c r="B93" s="8"/>
      <c r="D93" s="1"/>
    </row>
    <row r="94" spans="1:4">
      <c r="A94" s="8"/>
      <c r="B94" s="8"/>
      <c r="D94" s="1"/>
    </row>
    <row r="95" spans="1:4">
      <c r="A95" s="8"/>
      <c r="B95" s="8"/>
      <c r="D95" s="1"/>
    </row>
    <row r="96" spans="1:4">
      <c r="A96" s="8"/>
      <c r="D96" s="1"/>
    </row>
    <row r="97" spans="4:4">
      <c r="D97" s="6"/>
    </row>
  </sheetData>
  <mergeCells count="13">
    <mergeCell ref="A30:A32"/>
    <mergeCell ref="B30:B32"/>
    <mergeCell ref="C30:C32"/>
    <mergeCell ref="C4:C5"/>
    <mergeCell ref="C7:C8"/>
    <mergeCell ref="B4:B8"/>
    <mergeCell ref="C22:C23"/>
    <mergeCell ref="B2:B3"/>
    <mergeCell ref="B10:B16"/>
    <mergeCell ref="A28:A29"/>
    <mergeCell ref="A25:A26"/>
    <mergeCell ref="B17:B24"/>
    <mergeCell ref="A2:A24"/>
  </mergeCells>
  <phoneticPr fontId="2" type="noConversion"/>
  <conditionalFormatting sqref="F39:F6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">
      <colorScale>
        <cfvo type="min"/>
        <cfvo type="max"/>
        <color rgb="FFFFC000"/>
        <color rgb="FFFF6600"/>
      </colorScale>
    </cfRule>
  </conditionalFormatting>
  <conditionalFormatting sqref="E39:E6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图表</vt:lpstr>
      </vt:variant>
      <vt:variant>
        <vt:i4>1</vt:i4>
      </vt:variant>
    </vt:vector>
  </HeadingPairs>
  <TitlesOfParts>
    <vt:vector size="2" baseType="lpstr">
      <vt:lpstr>资产配置情况</vt:lpstr>
      <vt:lpstr>资产配置旭日图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lishuyun</dc:creator>
  <cp:lastModifiedBy>lishuyun</cp:lastModifiedBy>
  <dcterms:created xsi:type="dcterms:W3CDTF">2018-05-19T08:29:27Z</dcterms:created>
  <dcterms:modified xsi:type="dcterms:W3CDTF">2019-04-27T03:49:42Z</dcterms:modified>
</cp:coreProperties>
</file>