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6BF0C8E1-6CA8-4D81-BD43-E8126F031674}" xr6:coauthVersionLast="36" xr6:coauthVersionMax="40" xr10:uidLastSave="{00000000-0000-0000-0000-000000000000}"/>
  <bookViews>
    <workbookView xWindow="28800" yWindow="-8865" windowWidth="21600" windowHeight="37935" tabRatio="711" xr2:uid="{00000000-000D-0000-FFFF-FFFF00000000}"/>
  </bookViews>
  <sheets>
    <sheet name="资产配置情况" sheetId="1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1" l="1"/>
  <c r="K8" i="11"/>
  <c r="B17" i="11"/>
  <c r="C17" i="11"/>
  <c r="A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K2" i="11" l="1"/>
  <c r="F34" i="11" l="1"/>
  <c r="E22" i="11" l="1"/>
  <c r="E19" i="11"/>
  <c r="E24" i="11"/>
  <c r="E18" i="11"/>
  <c r="E20" i="11"/>
  <c r="E21" i="11"/>
  <c r="E17" i="11"/>
  <c r="E23" i="11"/>
  <c r="E3" i="11"/>
  <c r="E6" i="11"/>
  <c r="C6" i="11" s="1"/>
  <c r="E10" i="11"/>
  <c r="E13" i="11"/>
  <c r="E16" i="11"/>
  <c r="C16" i="11" s="1"/>
  <c r="E28" i="11"/>
  <c r="E31" i="11"/>
  <c r="E7" i="11"/>
  <c r="E11" i="11"/>
  <c r="E25" i="11"/>
  <c r="E29" i="11"/>
  <c r="E4" i="11"/>
  <c r="E8" i="11"/>
  <c r="E14" i="11"/>
  <c r="C14" i="11" s="1"/>
  <c r="E32" i="11"/>
  <c r="E26" i="11"/>
  <c r="E5" i="11"/>
  <c r="E9" i="11"/>
  <c r="E12" i="11"/>
  <c r="C12" i="11" s="1"/>
  <c r="E15" i="11"/>
  <c r="C15" i="11" s="1"/>
  <c r="E27" i="11"/>
  <c r="E30" i="11"/>
  <c r="E33" i="11"/>
  <c r="E2" i="11"/>
  <c r="E35" i="11"/>
  <c r="C13" i="11" l="1"/>
  <c r="C26" i="11"/>
  <c r="B26" i="11"/>
  <c r="C29" i="11"/>
  <c r="B29" i="11"/>
  <c r="A30" i="11"/>
  <c r="B30" i="11"/>
  <c r="C30" i="11"/>
  <c r="C9" i="11"/>
  <c r="B9" i="11"/>
  <c r="C25" i="11"/>
  <c r="A25" i="11"/>
  <c r="B25" i="11"/>
  <c r="B10" i="11"/>
  <c r="C10" i="11"/>
  <c r="C2" i="11"/>
  <c r="B2" i="11"/>
  <c r="C27" i="11"/>
  <c r="B27" i="11"/>
  <c r="A27" i="11"/>
  <c r="C11" i="11"/>
  <c r="B28" i="11"/>
  <c r="A28" i="11"/>
  <c r="C28" i="11"/>
  <c r="B4" i="11"/>
  <c r="C4" i="11"/>
  <c r="C7" i="11"/>
  <c r="C3" i="11"/>
  <c r="C33" i="11"/>
  <c r="B33" i="11"/>
  <c r="A33" i="11"/>
  <c r="E34" i="11"/>
</calcChain>
</file>

<file path=xl/sharedStrings.xml><?xml version="1.0" encoding="utf-8"?>
<sst xmlns="http://schemas.openxmlformats.org/spreadsheetml/2006/main" count="192" uniqueCount="57">
  <si>
    <t>大类目</t>
    <rPh sb="0" eb="1">
      <t>da'lei'm</t>
    </rPh>
    <phoneticPr fontId="2" type="noConversion"/>
  </si>
  <si>
    <t>二级类目</t>
    <rPh sb="0" eb="1">
      <t>er'ji</t>
    </rPh>
    <rPh sb="2" eb="3">
      <t>lei'mu</t>
    </rPh>
    <phoneticPr fontId="2" type="noConversion"/>
  </si>
  <si>
    <t>品种</t>
    <rPh sb="0" eb="1">
      <t>pin'z</t>
    </rPh>
    <rPh sb="1" eb="2">
      <t>zhong</t>
    </rPh>
    <phoneticPr fontId="2" type="noConversion"/>
  </si>
  <si>
    <t>天天基金</t>
    <rPh sb="0" eb="1">
      <t>tian't'j'j</t>
    </rPh>
    <phoneticPr fontId="2" type="noConversion"/>
  </si>
  <si>
    <t>总市值</t>
    <rPh sb="0" eb="1">
      <t>zong'shi'zhi</t>
    </rPh>
    <phoneticPr fontId="2" type="noConversion"/>
  </si>
  <si>
    <t>总收益率</t>
    <rPh sb="0" eb="1">
      <t>zong</t>
    </rPh>
    <rPh sb="1" eb="2">
      <t>shou'yi'l</t>
    </rPh>
    <phoneticPr fontId="2" type="noConversion"/>
  </si>
  <si>
    <t>市值占比</t>
    <rPh sb="0" eb="1">
      <t>zui'x</t>
    </rPh>
    <rPh sb="2" eb="3">
      <t>zhan'bi</t>
    </rPh>
    <phoneticPr fontId="2" type="noConversion"/>
  </si>
  <si>
    <t>本金总和</t>
    <rPh sb="0" eb="1">
      <t>zi'j</t>
    </rPh>
    <rPh sb="2" eb="3">
      <t>ji'shu</t>
    </rPh>
    <phoneticPr fontId="2" type="noConversion"/>
  </si>
  <si>
    <t>易方达创业板</t>
    <phoneticPr fontId="2" type="noConversion"/>
  </si>
  <si>
    <t>富国中证红利</t>
    <phoneticPr fontId="2" type="noConversion"/>
  </si>
  <si>
    <t>广发养老</t>
    <phoneticPr fontId="2" type="noConversion"/>
  </si>
  <si>
    <t>广发医药</t>
    <phoneticPr fontId="2" type="noConversion"/>
  </si>
  <si>
    <t>易方达消费</t>
    <phoneticPr fontId="2" type="noConversion"/>
  </si>
  <si>
    <t>广发金融地产</t>
    <phoneticPr fontId="2" type="noConversion"/>
  </si>
  <si>
    <t>交银海外互联网</t>
    <phoneticPr fontId="2" type="noConversion"/>
  </si>
  <si>
    <t>华宝油气</t>
    <phoneticPr fontId="2" type="noConversion"/>
  </si>
  <si>
    <t>兴全可转债</t>
    <phoneticPr fontId="2" type="noConversion"/>
  </si>
  <si>
    <t>长信可转债</t>
    <phoneticPr fontId="2" type="noConversion"/>
  </si>
  <si>
    <t>易方达安心债</t>
    <phoneticPr fontId="2" type="noConversion"/>
  </si>
  <si>
    <t>基金</t>
    <phoneticPr fontId="2" type="noConversion"/>
  </si>
  <si>
    <t>易方达创业板</t>
    <phoneticPr fontId="2" type="noConversion"/>
  </si>
  <si>
    <t>富国中证红利</t>
    <phoneticPr fontId="2" type="noConversion"/>
  </si>
  <si>
    <t>广发养老</t>
    <phoneticPr fontId="2" type="noConversion"/>
  </si>
  <si>
    <t>易方达消费</t>
    <phoneticPr fontId="2" type="noConversion"/>
  </si>
  <si>
    <t>广发金融地产</t>
    <phoneticPr fontId="2" type="noConversion"/>
  </si>
  <si>
    <t>华夏恒生</t>
    <phoneticPr fontId="2" type="noConversion"/>
  </si>
  <si>
    <t>交银海外互联网</t>
    <phoneticPr fontId="2" type="noConversion"/>
  </si>
  <si>
    <t>华安德国</t>
    <phoneticPr fontId="2" type="noConversion"/>
  </si>
  <si>
    <t>华宝油气</t>
    <phoneticPr fontId="2" type="noConversion"/>
  </si>
  <si>
    <t>兴全可转债</t>
    <phoneticPr fontId="2" type="noConversion"/>
  </si>
  <si>
    <t>长信可转债</t>
    <phoneticPr fontId="2" type="noConversion"/>
  </si>
  <si>
    <t>易方达安心债</t>
    <phoneticPr fontId="2" type="noConversion"/>
  </si>
  <si>
    <t>南方天天利</t>
    <phoneticPr fontId="2" type="noConversion"/>
  </si>
  <si>
    <t>华夏上证50</t>
    <phoneticPr fontId="2" type="noConversion"/>
  </si>
  <si>
    <t>养老金计划本金</t>
    <rPh sb="0" eb="1">
      <t>di'san'ci</t>
    </rPh>
    <rPh sb="2" eb="3">
      <t>lun</t>
    </rPh>
    <rPh sb="3" eb="4">
      <t>ji'h</t>
    </rPh>
    <phoneticPr fontId="2" type="noConversion"/>
  </si>
  <si>
    <t>富国沪深300</t>
    <phoneticPr fontId="2" type="noConversion"/>
  </si>
  <si>
    <t>广发中证500</t>
    <phoneticPr fontId="2" type="noConversion"/>
  </si>
  <si>
    <t>富国中证500</t>
    <phoneticPr fontId="2" type="noConversion"/>
  </si>
  <si>
    <t>华宝中证1000</t>
    <phoneticPr fontId="2" type="noConversion"/>
  </si>
  <si>
    <t>广发创业板</t>
    <phoneticPr fontId="2" type="noConversion"/>
  </si>
  <si>
    <t>广发中证传媒</t>
    <phoneticPr fontId="2" type="noConversion"/>
  </si>
  <si>
    <t>广发中证环保</t>
    <phoneticPr fontId="2" type="noConversion"/>
  </si>
  <si>
    <t>易方达证券公司</t>
    <phoneticPr fontId="2" type="noConversion"/>
  </si>
  <si>
    <t>华安黄金</t>
    <phoneticPr fontId="2" type="noConversion"/>
  </si>
  <si>
    <t>货币基金</t>
    <phoneticPr fontId="2" type="noConversion"/>
  </si>
  <si>
    <t>老爸蛋卷</t>
    <phoneticPr fontId="2" type="noConversion"/>
  </si>
  <si>
    <t>老妈蛋卷</t>
    <rPh sb="0" eb="1">
      <t>tian't'j'j</t>
    </rPh>
    <phoneticPr fontId="2" type="noConversion"/>
  </si>
  <si>
    <t>大成景安短融债券E</t>
    <phoneticPr fontId="2" type="noConversion"/>
  </si>
  <si>
    <t>华宝香港中小</t>
    <phoneticPr fontId="2" type="noConversion"/>
  </si>
  <si>
    <t>华夏上证50AH优选</t>
    <phoneticPr fontId="2" type="noConversion"/>
  </si>
  <si>
    <t>大成中证红利指数</t>
    <phoneticPr fontId="2" type="noConversion"/>
  </si>
  <si>
    <t>景顺长城中证500低波动</t>
    <phoneticPr fontId="2" type="noConversion"/>
  </si>
  <si>
    <t>申万菱信沪深300价值</t>
    <phoneticPr fontId="2" type="noConversion"/>
  </si>
  <si>
    <t>银河沪深300价值</t>
    <phoneticPr fontId="2" type="noConversion"/>
  </si>
  <si>
    <t>嘉实深证基本面120</t>
    <phoneticPr fontId="2" type="noConversion"/>
  </si>
  <si>
    <t>老妈蛋卷投入</t>
    <phoneticPr fontId="2" type="noConversion"/>
  </si>
  <si>
    <t>老爸蛋卷投入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</si>
</sst>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10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0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9" fillId="0" borderId="0" xfId="1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50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</cellStyles>
  <dxfs count="0"/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1" zoomScale="90" zoomScaleNormal="90" workbookViewId="0">
      <pane ySplit="1" topLeftCell="A2" activePane="bottomLeft" state="frozen"/>
      <selection pane="bottomLeft" activeCell="G9" sqref="G9"/>
    </sheetView>
  </sheetViews>
  <sheetFormatPr defaultColWidth="21.25" defaultRowHeight="14.25"/>
  <cols>
    <col min="1" max="1" width="15.25" style="9" bestFit="1" customWidth="1"/>
    <col min="2" max="3" width="17.375" style="9" bestFit="1" customWidth="1"/>
    <col min="4" max="4" width="22.625" style="9" bestFit="1" customWidth="1"/>
    <col min="5" max="5" width="9" style="9" bestFit="1" customWidth="1"/>
    <col min="6" max="6" width="8.875" style="9" bestFit="1" customWidth="1"/>
    <col min="7" max="9" width="9" style="9" bestFit="1" customWidth="1"/>
    <col min="10" max="10" width="21.25" style="9"/>
    <col min="11" max="11" width="15.125" style="9" bestFit="1" customWidth="1"/>
    <col min="12" max="12" width="10.5" style="9" bestFit="1" customWidth="1"/>
    <col min="13" max="16384" width="21.25" style="9"/>
  </cols>
  <sheetData>
    <row r="1" spans="1:15">
      <c r="A1" s="8" t="s">
        <v>0</v>
      </c>
      <c r="B1" s="8" t="s">
        <v>1</v>
      </c>
      <c r="C1" s="8" t="s">
        <v>2</v>
      </c>
      <c r="D1" s="8" t="s">
        <v>19</v>
      </c>
      <c r="E1" s="8" t="s">
        <v>6</v>
      </c>
      <c r="F1" s="8" t="s">
        <v>4</v>
      </c>
      <c r="G1" s="19" t="s">
        <v>3</v>
      </c>
      <c r="H1" s="8" t="s">
        <v>46</v>
      </c>
      <c r="I1" s="8" t="s">
        <v>45</v>
      </c>
      <c r="K1" s="8" t="s">
        <v>7</v>
      </c>
      <c r="M1" s="18"/>
      <c r="N1" s="8"/>
    </row>
    <row r="2" spans="1:15">
      <c r="A2" s="22" t="str">
        <f>"A股"&amp;" , "&amp;TEXT(SUM(E2:E24),"0.00%")</f>
        <v>A股 , 64.46%</v>
      </c>
      <c r="B2" s="22" t="str">
        <f>"大盘股"&amp;" , "&amp;TEXT(SUM(E2:E3),"0.00%")</f>
        <v>大盘股 , 5.99%</v>
      </c>
      <c r="C2" s="21" t="str">
        <f>"上证50"&amp;" , "&amp;TEXT(SUM(E2:E2),"0.00%")</f>
        <v>上证50 , 0.60%</v>
      </c>
      <c r="D2" s="10" t="s">
        <v>33</v>
      </c>
      <c r="E2" s="11">
        <f>F2/$F$34</f>
        <v>6.0217249267993638E-3</v>
      </c>
      <c r="F2" s="2">
        <f>SUM(G2:I2)</f>
        <v>484.14</v>
      </c>
      <c r="G2" s="2">
        <v>484.14</v>
      </c>
      <c r="H2" s="2"/>
      <c r="I2" s="2"/>
      <c r="K2" s="8">
        <f>K4+K6+K8+K10</f>
        <v>73497.86</v>
      </c>
      <c r="L2" s="23" t="s">
        <v>44</v>
      </c>
      <c r="M2" s="18"/>
      <c r="N2" s="8"/>
    </row>
    <row r="3" spans="1:15">
      <c r="A3" s="22"/>
      <c r="B3" s="22"/>
      <c r="C3" s="21" t="str">
        <f>"沪深300"&amp;" , "&amp;TEXT(SUM(E3:E3),"0.00%")</f>
        <v>沪深300 , 5.39%</v>
      </c>
      <c r="D3" s="10" t="s">
        <v>35</v>
      </c>
      <c r="E3" s="11">
        <f>F3/$F$34</f>
        <v>5.3856713693435337E-2</v>
      </c>
      <c r="F3" s="2">
        <f t="shared" ref="F3:F33" si="0">SUM(G3:I3)</f>
        <v>4330.0200000000004</v>
      </c>
      <c r="G3" s="2">
        <v>4330.0200000000004</v>
      </c>
      <c r="I3" s="2"/>
      <c r="K3" s="8" t="s">
        <v>34</v>
      </c>
      <c r="L3" s="23">
        <v>615881.54</v>
      </c>
      <c r="M3" s="8"/>
      <c r="N3" s="1"/>
    </row>
    <row r="4" spans="1:15">
      <c r="A4" s="22"/>
      <c r="B4" s="22" t="str">
        <f>"中小盘股"&amp;" , "&amp;TEXT(SUM(E4:E8),"0.00%")</f>
        <v>中小盘股 , 21.53%</v>
      </c>
      <c r="C4" s="22" t="str">
        <f>"中证500"&amp;" , "&amp;TEXT(SUM(E4:E5),"0.00%")</f>
        <v>中证500 , 17.27%</v>
      </c>
      <c r="D4" s="10" t="s">
        <v>36</v>
      </c>
      <c r="E4" s="11">
        <f>F4/$F$34</f>
        <v>0.13033637653455168</v>
      </c>
      <c r="F4" s="2">
        <f t="shared" si="0"/>
        <v>10478.9</v>
      </c>
      <c r="G4" s="2">
        <v>10478.9</v>
      </c>
      <c r="K4" s="8">
        <v>72000</v>
      </c>
      <c r="M4" s="8"/>
      <c r="N4" s="1"/>
    </row>
    <row r="5" spans="1:15">
      <c r="A5" s="22"/>
      <c r="B5" s="22"/>
      <c r="C5" s="22"/>
      <c r="D5" s="10" t="s">
        <v>37</v>
      </c>
      <c r="E5" s="11">
        <f>F5/$F$34</f>
        <v>4.241128204630687E-2</v>
      </c>
      <c r="F5" s="2">
        <f t="shared" si="0"/>
        <v>3409.82</v>
      </c>
      <c r="G5" s="2">
        <v>3409.82</v>
      </c>
      <c r="H5" s="2"/>
      <c r="I5" s="2"/>
      <c r="K5" s="8" t="s">
        <v>55</v>
      </c>
      <c r="M5" s="8"/>
      <c r="N5" s="1"/>
    </row>
    <row r="6" spans="1:15">
      <c r="A6" s="22"/>
      <c r="B6" s="22"/>
      <c r="C6" s="21" t="str">
        <f>"中证1000"&amp;" , "&amp;TEXT(SUM(E6:E6),"0.00%")</f>
        <v>中证1000 , 1.10%</v>
      </c>
      <c r="D6" s="10" t="s">
        <v>38</v>
      </c>
      <c r="E6" s="11">
        <f>F6/$F$34</f>
        <v>1.1040948450905232E-2</v>
      </c>
      <c r="F6" s="2">
        <f t="shared" si="0"/>
        <v>887.68</v>
      </c>
      <c r="G6" s="2">
        <v>887.68</v>
      </c>
      <c r="H6" s="2"/>
      <c r="I6" s="2"/>
      <c r="K6" s="8">
        <f>945.39+17.09</f>
        <v>962.48</v>
      </c>
      <c r="N6" s="12"/>
      <c r="O6" s="12"/>
    </row>
    <row r="7" spans="1:15">
      <c r="A7" s="22"/>
      <c r="B7" s="22"/>
      <c r="C7" s="22" t="str">
        <f>"创业板"&amp;" , "&amp;TEXT(SUM(E7:E8),"0.00%")</f>
        <v>创业板 , 3.15%</v>
      </c>
      <c r="D7" s="10" t="s">
        <v>39</v>
      </c>
      <c r="E7" s="11">
        <f>F7/$F$34</f>
        <v>5.7025662916490531E-3</v>
      </c>
      <c r="F7" s="2">
        <f t="shared" si="0"/>
        <v>458.48</v>
      </c>
      <c r="G7" s="2">
        <v>458.48</v>
      </c>
      <c r="I7" s="2"/>
      <c r="K7" s="8" t="s">
        <v>56</v>
      </c>
      <c r="O7" s="13"/>
    </row>
    <row r="8" spans="1:15">
      <c r="A8" s="22"/>
      <c r="B8" s="22"/>
      <c r="C8" s="22"/>
      <c r="D8" s="10" t="s">
        <v>20</v>
      </c>
      <c r="E8" s="11">
        <f>F8/$F$34</f>
        <v>2.5798117362068062E-2</v>
      </c>
      <c r="F8" s="2">
        <f t="shared" si="0"/>
        <v>2074.14</v>
      </c>
      <c r="G8" s="2">
        <v>2074.14</v>
      </c>
      <c r="H8" s="14"/>
      <c r="I8" s="2"/>
      <c r="K8" s="8">
        <f>523.56+11.82</f>
        <v>535.38</v>
      </c>
      <c r="N8" s="12"/>
      <c r="O8" s="12"/>
    </row>
    <row r="9" spans="1:15">
      <c r="A9" s="22"/>
      <c r="B9" s="21" t="str">
        <f>"红利价值"&amp;" , "&amp;TEXT(SUM(E9:E9),"0.00%")</f>
        <v>红利价值 , 9.89%</v>
      </c>
      <c r="C9" s="21" t="str">
        <f>"中证红利"&amp;" , "&amp;TEXT(SUM(E9:E9),"0.00%")</f>
        <v>中证红利 , 9.89%</v>
      </c>
      <c r="D9" s="10" t="s">
        <v>21</v>
      </c>
      <c r="E9" s="11">
        <f>F9/$F$34</f>
        <v>9.8928977750812247E-2</v>
      </c>
      <c r="F9" s="2">
        <f t="shared" si="0"/>
        <v>7953.78</v>
      </c>
      <c r="G9" s="2">
        <v>7953.78</v>
      </c>
      <c r="H9" s="2"/>
      <c r="I9" s="2"/>
      <c r="K9" s="8"/>
      <c r="O9" s="13"/>
    </row>
    <row r="10" spans="1:15">
      <c r="A10" s="22"/>
      <c r="B10" s="22" t="str">
        <f>"行业股"&amp;" , "&amp;TEXT(SUM(E10:E16),"0.00%")</f>
        <v>行业股 , 25.76%</v>
      </c>
      <c r="C10" s="21" t="str">
        <f>"养老产业"&amp;" , "&amp;TEXT(SUM(E10:E10),"0.00%")</f>
        <v>养老产业 , 7.40%</v>
      </c>
      <c r="D10" s="10" t="s">
        <v>22</v>
      </c>
      <c r="E10" s="11">
        <f>F10/$F$34</f>
        <v>7.3959230034146006E-2</v>
      </c>
      <c r="F10" s="2">
        <f t="shared" si="0"/>
        <v>5946.24</v>
      </c>
      <c r="G10" s="2">
        <v>5946.24</v>
      </c>
      <c r="H10" s="2"/>
      <c r="I10" s="2"/>
      <c r="K10" s="8"/>
      <c r="N10" s="12"/>
      <c r="O10" s="12"/>
    </row>
    <row r="11" spans="1:15">
      <c r="A11" s="22"/>
      <c r="B11" s="22"/>
      <c r="C11" s="21" t="str">
        <f>"全指医药"&amp;" , "&amp;TEXT(SUM(E11:E11),"0.00%")</f>
        <v>全指医药 , 6.78%</v>
      </c>
      <c r="D11" s="21" t="s">
        <v>11</v>
      </c>
      <c r="E11" s="11">
        <f>F11/$F$34</f>
        <v>6.776399524918815E-2</v>
      </c>
      <c r="F11" s="2">
        <f t="shared" si="0"/>
        <v>5448.15</v>
      </c>
      <c r="G11" s="2">
        <v>5448.15</v>
      </c>
      <c r="I11" s="2"/>
      <c r="O11" s="13"/>
    </row>
    <row r="12" spans="1:15">
      <c r="A12" s="22"/>
      <c r="B12" s="22"/>
      <c r="C12" s="21" t="str">
        <f>"中证传媒"&amp;" , "&amp;TEXT(SUM(E12:E12),"0.00%")</f>
        <v>中证传媒 , 4.48%</v>
      </c>
      <c r="D12" s="10" t="s">
        <v>40</v>
      </c>
      <c r="E12" s="11">
        <f>F12/$F$34</f>
        <v>4.4797509020335989E-2</v>
      </c>
      <c r="F12" s="2">
        <f t="shared" si="0"/>
        <v>3601.67</v>
      </c>
      <c r="G12" s="2">
        <v>3601.67</v>
      </c>
      <c r="H12" s="2"/>
      <c r="I12" s="2"/>
      <c r="N12" s="12"/>
      <c r="O12" s="12"/>
    </row>
    <row r="13" spans="1:15">
      <c r="A13" s="22"/>
      <c r="B13" s="22"/>
      <c r="C13" s="21" t="str">
        <f>"中证环保"&amp;" , "&amp;TEXT(SUM(E13:E13),"0.00%")</f>
        <v>中证环保 , 4.44%</v>
      </c>
      <c r="D13" s="10" t="s">
        <v>41</v>
      </c>
      <c r="E13" s="11">
        <f>F13/$F$34</f>
        <v>4.4401856791803973E-2</v>
      </c>
      <c r="F13" s="2">
        <f t="shared" si="0"/>
        <v>3569.86</v>
      </c>
      <c r="G13" s="2">
        <v>3569.86</v>
      </c>
      <c r="H13" s="2"/>
      <c r="O13" s="13"/>
    </row>
    <row r="14" spans="1:15">
      <c r="A14" s="22"/>
      <c r="B14" s="22"/>
      <c r="C14" s="21" t="str">
        <f>"全指消费"&amp;" , "&amp;TEXT(SUM(E14:E14),"0.00%")</f>
        <v>全指消费 , 0.77%</v>
      </c>
      <c r="D14" s="10" t="s">
        <v>23</v>
      </c>
      <c r="E14" s="11">
        <f>F14/$F$34</f>
        <v>7.6763497605501774E-3</v>
      </c>
      <c r="F14" s="2">
        <f t="shared" si="0"/>
        <v>617.16999999999996</v>
      </c>
      <c r="G14" s="2">
        <v>617.16999999999996</v>
      </c>
      <c r="I14" s="2"/>
      <c r="N14" s="12"/>
      <c r="O14" s="12"/>
    </row>
    <row r="15" spans="1:15">
      <c r="A15" s="22"/>
      <c r="B15" s="22"/>
      <c r="C15" s="21" t="str">
        <f>"金融地产"&amp;" , "&amp;TEXT(SUM(E15:E15),"0.00%")</f>
        <v>金融地产 , 1.22%</v>
      </c>
      <c r="D15" s="10" t="s">
        <v>24</v>
      </c>
      <c r="E15" s="11">
        <f>F15/$F$34</f>
        <v>1.2213103937131473E-2</v>
      </c>
      <c r="F15" s="2">
        <f t="shared" si="0"/>
        <v>981.92</v>
      </c>
      <c r="G15" s="2">
        <v>981.92</v>
      </c>
      <c r="H15" s="2"/>
      <c r="K15" s="15"/>
      <c r="O15" s="13"/>
    </row>
    <row r="16" spans="1:15">
      <c r="A16" s="22"/>
      <c r="B16" s="22"/>
      <c r="C16" s="21" t="str">
        <f>"证券公司"&amp;" , "&amp;TEXT(SUM(E16:E16),"0.00%")</f>
        <v>证券公司 , 0.68%</v>
      </c>
      <c r="D16" s="10" t="s">
        <v>42</v>
      </c>
      <c r="E16" s="11">
        <f>F16/$F$34</f>
        <v>6.8110393066371953E-3</v>
      </c>
      <c r="F16" s="2">
        <f t="shared" si="0"/>
        <v>547.6</v>
      </c>
      <c r="G16" s="2">
        <v>547.6</v>
      </c>
      <c r="H16" s="14"/>
      <c r="I16" s="2"/>
      <c r="N16" s="12"/>
      <c r="O16" s="12"/>
    </row>
    <row r="17" spans="1:15" s="20" customFormat="1">
      <c r="A17" s="22"/>
      <c r="B17" s="22" t="str">
        <f>"风格指数"&amp;" , "&amp;TEXT(SUM(E17:E24),"0.00%")</f>
        <v>风格指数 , 1.29%</v>
      </c>
      <c r="C17" s="22" t="str">
        <f>"螺丝钉定投"&amp;" , "&amp;TEXT(SUM(E17:E24),"0.00%")</f>
        <v>螺丝钉定投 , 1.29%</v>
      </c>
      <c r="D17" s="21" t="s">
        <v>47</v>
      </c>
      <c r="E17" s="11">
        <f t="shared" ref="E17:E24" si="1">F17/$F$34</f>
        <v>3.5126106840529768E-3</v>
      </c>
      <c r="F17" s="2">
        <f t="shared" si="0"/>
        <v>282.40999999999997</v>
      </c>
      <c r="G17" s="2"/>
      <c r="H17" s="2">
        <v>173.69</v>
      </c>
      <c r="I17" s="2">
        <v>108.72</v>
      </c>
      <c r="N17" s="12"/>
      <c r="O17" s="12"/>
    </row>
    <row r="18" spans="1:15">
      <c r="A18" s="22"/>
      <c r="B18" s="22"/>
      <c r="C18" s="22"/>
      <c r="D18" s="21" t="s">
        <v>48</v>
      </c>
      <c r="E18" s="11">
        <f t="shared" si="1"/>
        <v>3.1532773648989434E-3</v>
      </c>
      <c r="F18" s="2">
        <f t="shared" si="0"/>
        <v>253.51999999999998</v>
      </c>
      <c r="G18" s="2"/>
      <c r="H18" s="2">
        <v>157.47</v>
      </c>
      <c r="I18" s="2">
        <v>96.05</v>
      </c>
      <c r="O18" s="13"/>
    </row>
    <row r="19" spans="1:15">
      <c r="A19" s="22"/>
      <c r="B19" s="22"/>
      <c r="C19" s="22"/>
      <c r="D19" s="21" t="s">
        <v>49</v>
      </c>
      <c r="E19" s="11">
        <f t="shared" si="1"/>
        <v>2.5397116800990665E-3</v>
      </c>
      <c r="F19" s="2">
        <f t="shared" si="0"/>
        <v>204.19</v>
      </c>
      <c r="G19" s="2"/>
      <c r="H19" s="2">
        <v>142.1</v>
      </c>
      <c r="I19" s="2">
        <v>62.09</v>
      </c>
      <c r="N19" s="12"/>
    </row>
    <row r="20" spans="1:15">
      <c r="A20" s="22"/>
      <c r="B20" s="22"/>
      <c r="C20" s="22"/>
      <c r="D20" s="21" t="s">
        <v>50</v>
      </c>
      <c r="E20" s="11">
        <f t="shared" si="1"/>
        <v>1.8948022789866878E-3</v>
      </c>
      <c r="F20" s="2">
        <f t="shared" si="0"/>
        <v>152.34</v>
      </c>
      <c r="G20" s="2"/>
      <c r="H20" s="2">
        <v>98.41</v>
      </c>
      <c r="I20" s="2">
        <v>53.93</v>
      </c>
      <c r="O20" s="13"/>
    </row>
    <row r="21" spans="1:15">
      <c r="A21" s="22"/>
      <c r="B21" s="22"/>
      <c r="C21" s="22"/>
      <c r="D21" s="21" t="s">
        <v>51</v>
      </c>
      <c r="E21" s="11">
        <f t="shared" si="1"/>
        <v>4.1493110166073197E-4</v>
      </c>
      <c r="F21" s="2">
        <f t="shared" si="0"/>
        <v>33.36</v>
      </c>
      <c r="G21" s="2"/>
      <c r="H21" s="2">
        <v>33.36</v>
      </c>
      <c r="N21" s="12"/>
    </row>
    <row r="22" spans="1:15">
      <c r="A22" s="22"/>
      <c r="B22" s="22"/>
      <c r="C22" s="22"/>
      <c r="D22" s="21" t="s">
        <v>53</v>
      </c>
      <c r="E22" s="11">
        <f t="shared" si="1"/>
        <v>5.7886371316817945E-4</v>
      </c>
      <c r="F22" s="2">
        <f t="shared" si="0"/>
        <v>46.54</v>
      </c>
      <c r="G22" s="2"/>
      <c r="H22" s="2">
        <v>23.27</v>
      </c>
      <c r="I22" s="2">
        <v>23.27</v>
      </c>
      <c r="O22" s="13"/>
    </row>
    <row r="23" spans="1:15">
      <c r="A23" s="22"/>
      <c r="B23" s="22"/>
      <c r="C23" s="22"/>
      <c r="D23" s="21" t="s">
        <v>52</v>
      </c>
      <c r="E23" s="11">
        <f t="shared" si="1"/>
        <v>5.597092198660953E-4</v>
      </c>
      <c r="F23" s="2">
        <f t="shared" si="0"/>
        <v>45</v>
      </c>
      <c r="G23" s="2"/>
      <c r="H23" s="2">
        <v>22.5</v>
      </c>
      <c r="I23" s="2">
        <v>22.5</v>
      </c>
      <c r="N23" s="12"/>
      <c r="O23" s="12"/>
    </row>
    <row r="24" spans="1:15">
      <c r="A24" s="22"/>
      <c r="B24" s="22"/>
      <c r="C24" s="22"/>
      <c r="D24" s="21" t="s">
        <v>54</v>
      </c>
      <c r="E24" s="11">
        <f t="shared" si="1"/>
        <v>2.5050097084673684E-4</v>
      </c>
      <c r="F24" s="2">
        <f t="shared" si="0"/>
        <v>20.14</v>
      </c>
      <c r="G24" s="2"/>
      <c r="H24" s="2">
        <v>20.14</v>
      </c>
      <c r="I24" s="2"/>
      <c r="O24" s="13"/>
    </row>
    <row r="25" spans="1:15">
      <c r="A25" s="22" t="str">
        <f>"海外新兴"&amp;" , "&amp;TEXT(SUM(E25:E26),"0.00%")</f>
        <v>海外新兴 , 1.63%</v>
      </c>
      <c r="B25" s="21" t="str">
        <f>"香港"&amp;" , "&amp;TEXT(SUM(E25:E25),"0.00%")</f>
        <v>香港 , 0.53%</v>
      </c>
      <c r="C25" s="21" t="str">
        <f>"恒生"&amp;" , "&amp;TEXT(SUM(E25:E25),"0.00%")</f>
        <v>恒生 , 0.53%</v>
      </c>
      <c r="D25" s="10" t="s">
        <v>25</v>
      </c>
      <c r="E25" s="11">
        <f>F25/$F$34</f>
        <v>5.3363920820299893E-3</v>
      </c>
      <c r="F25" s="2">
        <f t="shared" si="0"/>
        <v>429.04</v>
      </c>
      <c r="G25" s="2">
        <v>429.04</v>
      </c>
      <c r="H25" s="2"/>
      <c r="I25" s="2"/>
      <c r="N25" s="12"/>
      <c r="O25" s="12"/>
    </row>
    <row r="26" spans="1:15">
      <c r="A26" s="22"/>
      <c r="B26" s="21" t="str">
        <f>"海外互联"&amp;" , "&amp;TEXT(SUM(E26:E26),"0.00%")</f>
        <v>海外互联 , 1.10%</v>
      </c>
      <c r="C26" s="21" t="str">
        <f>"海外互联网"&amp;" , "&amp;TEXT(SUM(E26:E26),"0.00%")</f>
        <v>海外互联网 , 1.10%</v>
      </c>
      <c r="D26" s="10" t="s">
        <v>26</v>
      </c>
      <c r="E26" s="11">
        <f>F26/$F$34</f>
        <v>1.0994057256263116E-2</v>
      </c>
      <c r="F26" s="2">
        <f t="shared" si="0"/>
        <v>883.91</v>
      </c>
      <c r="G26" s="2">
        <v>883.91</v>
      </c>
      <c r="H26" s="14"/>
      <c r="I26" s="2"/>
      <c r="O26" s="13"/>
    </row>
    <row r="27" spans="1:15">
      <c r="A27" s="10" t="str">
        <f>"海外成熟"&amp;" , "&amp;TEXT(SUM(E27:E27),"0.00%")</f>
        <v>海外成熟 , 2.61%</v>
      </c>
      <c r="B27" s="21" t="str">
        <f>"海外成熟"&amp;" , "&amp;TEXT(SUM(E27:E27),"0.00%")</f>
        <v>海外成熟 , 2.61%</v>
      </c>
      <c r="C27" s="21" t="str">
        <f>"德国30"&amp;" , "&amp;TEXT(SUM(E27:E27),"0.00%")</f>
        <v>德国30 , 2.61%</v>
      </c>
      <c r="D27" s="10" t="s">
        <v>27</v>
      </c>
      <c r="E27" s="11">
        <f>F27/$F$34</f>
        <v>2.6067897206043519E-2</v>
      </c>
      <c r="F27" s="2">
        <f t="shared" si="0"/>
        <v>2095.83</v>
      </c>
      <c r="G27" s="2">
        <v>2095.83</v>
      </c>
      <c r="H27" s="14"/>
      <c r="I27" s="2"/>
      <c r="J27" s="11"/>
      <c r="N27" s="12"/>
      <c r="O27" s="12"/>
    </row>
    <row r="28" spans="1:15">
      <c r="A28" s="22" t="str">
        <f>"商品"&amp;" , "&amp;TEXT(SUM(E28:E29),"0.00%")</f>
        <v>商品 , 2.03%</v>
      </c>
      <c r="B28" s="21" t="str">
        <f>"原油"&amp;" , "&amp;TEXT(SUM(E28:E28),"0.00%")</f>
        <v>原油 , 1.54%</v>
      </c>
      <c r="C28" s="21" t="str">
        <f>"原油"&amp;" , "&amp;TEXT(SUM(E28:E28),"0.00%")</f>
        <v>原油 , 1.54%</v>
      </c>
      <c r="D28" s="10" t="s">
        <v>28</v>
      </c>
      <c r="E28" s="11">
        <f>F28/$F$34</f>
        <v>1.5441382337492473E-2</v>
      </c>
      <c r="F28" s="2">
        <f t="shared" si="0"/>
        <v>1241.47</v>
      </c>
      <c r="G28" s="2">
        <v>1241.47</v>
      </c>
      <c r="H28" s="14"/>
      <c r="I28" s="2"/>
      <c r="J28" s="11"/>
      <c r="O28" s="13"/>
    </row>
    <row r="29" spans="1:15">
      <c r="A29" s="22"/>
      <c r="B29" s="21" t="str">
        <f>"黄金"&amp;" , "&amp;TEXT(SUM(E29:E29),"0.00%")</f>
        <v>黄金 , 0.49%</v>
      </c>
      <c r="C29" s="21" t="str">
        <f>"黄金"&amp;" , "&amp;TEXT(SUM(E29:E29),"0.00%")</f>
        <v>黄金 , 0.49%</v>
      </c>
      <c r="D29" s="10" t="s">
        <v>43</v>
      </c>
      <c r="E29" s="11">
        <f>F29/$F$34</f>
        <v>4.8743210260738679E-3</v>
      </c>
      <c r="F29" s="2">
        <f t="shared" si="0"/>
        <v>391.89</v>
      </c>
      <c r="G29" s="2">
        <v>391.89</v>
      </c>
      <c r="H29" s="14"/>
      <c r="I29" s="2"/>
      <c r="N29" s="12"/>
      <c r="O29" s="12"/>
    </row>
    <row r="30" spans="1:15">
      <c r="A30" s="22" t="str">
        <f>"债券"&amp;" , "&amp;TEXT(SUM(E30:E32),"0.00%")</f>
        <v>债券 , 3.27%</v>
      </c>
      <c r="B30" s="22" t="str">
        <f>"国内债券"&amp;" , "&amp;TEXT(SUM(E30:E32),"0.00%")</f>
        <v>国内债券 , 3.27%</v>
      </c>
      <c r="C30" s="22" t="str">
        <f>"可转债"&amp;" , "&amp;TEXT(SUM(E30:E32),"0.00%")</f>
        <v>可转债 , 3.27%</v>
      </c>
      <c r="D30" s="10" t="s">
        <v>29</v>
      </c>
      <c r="E30" s="11">
        <f>F30/$F$34</f>
        <v>2.2069707678800048E-2</v>
      </c>
      <c r="F30" s="2">
        <f t="shared" si="0"/>
        <v>1774.38</v>
      </c>
      <c r="G30" s="2">
        <v>1774.38</v>
      </c>
      <c r="H30" s="2"/>
      <c r="I30" s="2"/>
      <c r="O30" s="13"/>
    </row>
    <row r="31" spans="1:15">
      <c r="A31" s="22"/>
      <c r="B31" s="22"/>
      <c r="C31" s="22"/>
      <c r="D31" s="10" t="s">
        <v>30</v>
      </c>
      <c r="E31" s="11">
        <f>F31/$F$34</f>
        <v>5.481543339715263E-3</v>
      </c>
      <c r="F31" s="2">
        <f t="shared" si="0"/>
        <v>440.71</v>
      </c>
      <c r="G31" s="2">
        <v>440.71</v>
      </c>
      <c r="H31" s="2"/>
      <c r="I31" s="2"/>
      <c r="N31" s="12"/>
      <c r="O31" s="12"/>
    </row>
    <row r="32" spans="1:15">
      <c r="A32" s="22"/>
      <c r="B32" s="22"/>
      <c r="C32" s="22"/>
      <c r="D32" s="10" t="s">
        <v>31</v>
      </c>
      <c r="E32" s="11">
        <f>F32/$F$34</f>
        <v>5.1566632325396539E-3</v>
      </c>
      <c r="F32" s="2">
        <f t="shared" si="0"/>
        <v>414.59</v>
      </c>
      <c r="G32" s="2">
        <v>414.59</v>
      </c>
      <c r="H32" s="2"/>
      <c r="I32" s="2"/>
      <c r="O32" s="13"/>
    </row>
    <row r="33" spans="1:16">
      <c r="A33" s="21" t="str">
        <f>"现金"&amp;" , "&amp;TEXT(SUM(E33:E33),"0.00%")</f>
        <v>现金 , 26.00%</v>
      </c>
      <c r="B33" s="10" t="str">
        <f>"低风险理财"&amp;" , "&amp;TEXT(SUM(E33:E33),"0.00%")</f>
        <v>低风险理财 , 26.00%</v>
      </c>
      <c r="C33" s="21" t="str">
        <f>"货币基金"&amp;" , "&amp;TEXT(SUM(E33:E33),"0.00%")</f>
        <v>货币基金 , 26.00%</v>
      </c>
      <c r="D33" s="10" t="s">
        <v>32</v>
      </c>
      <c r="E33" s="11">
        <f>F33/$F$34</f>
        <v>0.25995383767114205</v>
      </c>
      <c r="F33" s="2">
        <f t="shared" si="0"/>
        <v>20900</v>
      </c>
      <c r="G33" s="2">
        <v>20900</v>
      </c>
      <c r="H33" s="8"/>
      <c r="I33" s="2"/>
      <c r="N33" s="12"/>
      <c r="O33" s="12"/>
    </row>
    <row r="34" spans="1:16">
      <c r="D34" s="8" t="s">
        <v>4</v>
      </c>
      <c r="E34" s="13">
        <f>SUM(E2:E33)</f>
        <v>1</v>
      </c>
      <c r="F34" s="2">
        <f>SUM(F2:F33)</f>
        <v>80398.889999999985</v>
      </c>
      <c r="H34" s="8"/>
      <c r="I34" s="8"/>
      <c r="O34" s="13"/>
    </row>
    <row r="35" spans="1:16">
      <c r="D35" s="8" t="s">
        <v>5</v>
      </c>
      <c r="E35" s="16">
        <f>F34/$K$2-1</f>
        <v>9.3894298419028521E-2</v>
      </c>
      <c r="I35" s="8"/>
      <c r="N35" s="12"/>
      <c r="O35" s="12"/>
    </row>
    <row r="36" spans="1:16">
      <c r="C36" s="2"/>
      <c r="P36" s="13"/>
    </row>
    <row r="37" spans="1:16">
      <c r="A37" s="17"/>
      <c r="B37" s="8"/>
      <c r="C37" s="2"/>
      <c r="O37" s="12"/>
    </row>
    <row r="38" spans="1:16">
      <c r="A38" s="8"/>
      <c r="B38" s="2"/>
      <c r="C38" s="2"/>
      <c r="D38" s="8"/>
      <c r="E38" s="8"/>
      <c r="F38" s="8"/>
      <c r="P38" s="13"/>
    </row>
    <row r="39" spans="1:16">
      <c r="A39" s="8"/>
      <c r="B39" s="2"/>
      <c r="C39" s="2"/>
      <c r="D39" s="1"/>
      <c r="E39" s="1"/>
      <c r="F39" s="1"/>
      <c r="O39" s="12"/>
    </row>
    <row r="40" spans="1:16">
      <c r="A40" s="8"/>
      <c r="B40" s="2"/>
      <c r="C40" s="2"/>
      <c r="D40" s="1"/>
      <c r="E40" s="1"/>
      <c r="F40" s="1"/>
      <c r="P40" s="13"/>
    </row>
    <row r="41" spans="1:16">
      <c r="A41" s="8"/>
      <c r="B41" s="2"/>
      <c r="C41" s="2"/>
      <c r="D41" s="1"/>
      <c r="E41" s="1"/>
      <c r="F41" s="1"/>
    </row>
    <row r="42" spans="1:16">
      <c r="A42" s="8"/>
      <c r="B42" s="2"/>
      <c r="C42" s="2"/>
      <c r="D42" s="1"/>
      <c r="E42" s="1"/>
      <c r="F42" s="1"/>
    </row>
    <row r="43" spans="1:16">
      <c r="A43" s="8"/>
      <c r="B43" s="2"/>
      <c r="C43" s="2"/>
      <c r="D43" s="1"/>
      <c r="E43" s="1"/>
      <c r="F43" s="1"/>
    </row>
    <row r="44" spans="1:16">
      <c r="A44" s="8"/>
      <c r="B44" s="2"/>
      <c r="C44" s="2"/>
      <c r="D44" s="1"/>
      <c r="E44" s="1"/>
      <c r="F44" s="1"/>
    </row>
    <row r="45" spans="1:16">
      <c r="A45" s="8"/>
      <c r="B45" s="2"/>
      <c r="C45" s="2"/>
      <c r="D45" s="1"/>
      <c r="E45" s="1"/>
      <c r="F45" s="1"/>
    </row>
    <row r="46" spans="1:16">
      <c r="A46" s="8"/>
      <c r="B46" s="2"/>
      <c r="C46" s="2"/>
      <c r="D46" s="1"/>
      <c r="E46" s="1"/>
      <c r="F46" s="1"/>
    </row>
    <row r="47" spans="1:16">
      <c r="A47" s="8"/>
      <c r="B47" s="2"/>
      <c r="C47" s="2"/>
      <c r="D47" s="1"/>
      <c r="E47" s="1"/>
      <c r="F47" s="1"/>
    </row>
    <row r="48" spans="1:16">
      <c r="A48" s="8"/>
      <c r="B48" s="2"/>
      <c r="C48" s="2"/>
      <c r="D48" s="1"/>
      <c r="E48" s="1"/>
      <c r="F48" s="1"/>
    </row>
    <row r="49" spans="1:6">
      <c r="A49" s="8"/>
      <c r="B49" s="2"/>
      <c r="C49" s="2"/>
      <c r="D49" s="1"/>
      <c r="E49" s="1"/>
      <c r="F49" s="1"/>
    </row>
    <row r="50" spans="1:6">
      <c r="A50" s="8"/>
      <c r="B50" s="2"/>
      <c r="C50" s="2"/>
      <c r="D50" s="1"/>
      <c r="E50" s="1"/>
      <c r="F50" s="1"/>
    </row>
    <row r="51" spans="1:6">
      <c r="A51" s="8"/>
      <c r="B51" s="2"/>
      <c r="C51" s="2"/>
      <c r="D51" s="1"/>
      <c r="E51" s="1"/>
      <c r="F51" s="1"/>
    </row>
    <row r="52" spans="1:6">
      <c r="A52" s="8"/>
      <c r="B52" s="2"/>
      <c r="C52" s="2"/>
      <c r="D52" s="1"/>
      <c r="E52" s="1"/>
      <c r="F52" s="1"/>
    </row>
    <row r="53" spans="1:6">
      <c r="A53" s="8"/>
      <c r="B53" s="2"/>
      <c r="C53" s="2"/>
      <c r="D53" s="1"/>
      <c r="E53" s="1"/>
      <c r="F53" s="1"/>
    </row>
    <row r="54" spans="1:6">
      <c r="A54" s="8"/>
      <c r="B54" s="2"/>
      <c r="C54" s="2"/>
      <c r="D54" s="1"/>
      <c r="E54" s="1"/>
      <c r="F54" s="1"/>
    </row>
    <row r="55" spans="1:6">
      <c r="A55" s="8"/>
      <c r="B55" s="2"/>
      <c r="C55" s="2"/>
      <c r="D55" s="1"/>
      <c r="E55" s="1"/>
      <c r="F55" s="1"/>
    </row>
    <row r="56" spans="1:6">
      <c r="A56" s="8"/>
      <c r="B56" s="2"/>
      <c r="C56" s="4"/>
      <c r="D56" s="1"/>
      <c r="E56" s="1"/>
      <c r="F56" s="1"/>
    </row>
    <row r="57" spans="1:6">
      <c r="A57" s="8"/>
      <c r="B57" s="2"/>
      <c r="D57" s="1"/>
      <c r="E57" s="1"/>
      <c r="F57" s="1"/>
    </row>
    <row r="58" spans="1:6">
      <c r="A58" s="8"/>
      <c r="B58" s="2"/>
      <c r="D58" s="1"/>
      <c r="E58" s="1"/>
      <c r="F58" s="1"/>
    </row>
    <row r="59" spans="1:6">
      <c r="A59" s="8"/>
      <c r="B59" s="7"/>
      <c r="D59" s="1"/>
      <c r="E59" s="1"/>
      <c r="F59" s="1"/>
    </row>
    <row r="60" spans="1:6">
      <c r="A60" s="8"/>
      <c r="B60" s="8"/>
      <c r="C60" s="8"/>
      <c r="D60" s="1"/>
      <c r="E60" s="1"/>
      <c r="F60" s="1"/>
    </row>
    <row r="61" spans="1:6">
      <c r="A61" s="8"/>
      <c r="B61" s="8"/>
      <c r="C61" s="2"/>
      <c r="D61" s="1"/>
      <c r="E61" s="1"/>
      <c r="F61" s="1"/>
    </row>
    <row r="62" spans="1:6">
      <c r="A62" s="8"/>
      <c r="B62" s="8"/>
      <c r="C62" s="2"/>
      <c r="D62" s="1"/>
      <c r="E62" s="1"/>
      <c r="F62" s="1"/>
    </row>
    <row r="63" spans="1:6">
      <c r="A63" s="8"/>
      <c r="C63" s="2"/>
      <c r="D63" s="3"/>
      <c r="E63" s="8"/>
    </row>
    <row r="64" spans="1:6">
      <c r="C64" s="2"/>
    </row>
    <row r="65" spans="1:4">
      <c r="C65" s="2"/>
    </row>
    <row r="66" spans="1:4">
      <c r="B66" s="8"/>
      <c r="C66" s="2"/>
    </row>
    <row r="67" spans="1:4">
      <c r="A67" s="8"/>
      <c r="B67" s="8"/>
      <c r="C67" s="2"/>
      <c r="D67" s="8"/>
    </row>
    <row r="68" spans="1:4">
      <c r="A68" s="8"/>
      <c r="B68" s="8"/>
      <c r="C68" s="2"/>
      <c r="D68" s="1"/>
    </row>
    <row r="69" spans="1:4">
      <c r="A69" s="8"/>
      <c r="B69" s="8"/>
      <c r="C69" s="2"/>
      <c r="D69" s="1"/>
    </row>
    <row r="70" spans="1:4">
      <c r="A70" s="8"/>
      <c r="B70" s="8"/>
      <c r="C70" s="2"/>
      <c r="D70" s="1"/>
    </row>
    <row r="71" spans="1:4">
      <c r="A71" s="8"/>
      <c r="B71" s="8"/>
      <c r="C71" s="2"/>
      <c r="D71" s="1"/>
    </row>
    <row r="72" spans="1:4">
      <c r="A72" s="8"/>
      <c r="B72" s="8"/>
      <c r="C72" s="2"/>
      <c r="D72" s="1"/>
    </row>
    <row r="73" spans="1:4">
      <c r="A73" s="8"/>
      <c r="B73" s="8"/>
      <c r="C73" s="2"/>
      <c r="D73" s="1"/>
    </row>
    <row r="74" spans="1:4">
      <c r="A74" s="8"/>
      <c r="B74" s="8"/>
      <c r="C74" s="2"/>
      <c r="D74" s="1"/>
    </row>
    <row r="75" spans="1:4">
      <c r="A75" s="8"/>
      <c r="B75" s="8"/>
      <c r="C75" s="2"/>
      <c r="D75" s="1"/>
    </row>
    <row r="76" spans="1:4">
      <c r="A76" s="8"/>
      <c r="B76" s="8"/>
      <c r="C76" s="5"/>
      <c r="D76" s="1"/>
    </row>
    <row r="77" spans="1:4">
      <c r="A77" s="8"/>
      <c r="B77" s="8"/>
      <c r="C77" s="2"/>
      <c r="D77" s="1"/>
    </row>
    <row r="78" spans="1:4">
      <c r="A78" s="8"/>
      <c r="B78" s="8"/>
      <c r="C78" s="2"/>
      <c r="D78" s="1"/>
    </row>
    <row r="79" spans="1:4">
      <c r="A79" s="8"/>
      <c r="B79" s="8"/>
      <c r="C79" s="2"/>
      <c r="D79" s="1"/>
    </row>
    <row r="80" spans="1:4">
      <c r="A80" s="8"/>
      <c r="B80" s="18"/>
      <c r="C80" s="2"/>
      <c r="D80" s="1"/>
    </row>
    <row r="81" spans="1:4">
      <c r="A81" s="18"/>
      <c r="B81" s="8"/>
      <c r="C81" s="2"/>
      <c r="D81" s="1"/>
    </row>
    <row r="82" spans="1:4">
      <c r="A82" s="8"/>
      <c r="B82" s="8"/>
      <c r="C82" s="2"/>
      <c r="D82" s="1"/>
    </row>
    <row r="83" spans="1:4">
      <c r="A83" s="8"/>
      <c r="B83" s="8"/>
      <c r="C83" s="2"/>
      <c r="D83" s="1"/>
    </row>
    <row r="84" spans="1:4">
      <c r="A84" s="8"/>
      <c r="B84" s="8"/>
      <c r="C84" s="2"/>
      <c r="D84" s="1"/>
    </row>
    <row r="85" spans="1:4">
      <c r="A85" s="8"/>
      <c r="B85" s="8"/>
      <c r="C85" s="2"/>
      <c r="D85" s="1"/>
    </row>
    <row r="86" spans="1:4">
      <c r="A86" s="8"/>
      <c r="B86" s="8"/>
      <c r="C86" s="2"/>
      <c r="D86" s="1"/>
    </row>
    <row r="87" spans="1:4">
      <c r="A87" s="8"/>
      <c r="B87" s="8"/>
      <c r="C87" s="2"/>
      <c r="D87" s="1"/>
    </row>
    <row r="88" spans="1:4">
      <c r="A88" s="8"/>
      <c r="B88" s="8"/>
      <c r="C88" s="2"/>
      <c r="D88" s="1"/>
    </row>
    <row r="89" spans="1:4">
      <c r="A89" s="8"/>
      <c r="B89" s="8"/>
      <c r="C89" s="2"/>
      <c r="D89" s="1"/>
    </row>
    <row r="90" spans="1:4">
      <c r="A90" s="8"/>
      <c r="B90" s="8"/>
      <c r="C90" s="2"/>
      <c r="D90" s="1"/>
    </row>
    <row r="91" spans="1:4">
      <c r="A91" s="8"/>
      <c r="B91" s="8"/>
      <c r="D91" s="1"/>
    </row>
    <row r="92" spans="1:4">
      <c r="A92" s="8"/>
      <c r="B92" s="8"/>
      <c r="D92" s="1"/>
    </row>
    <row r="93" spans="1:4">
      <c r="A93" s="8"/>
      <c r="B93" s="8"/>
      <c r="D93" s="1"/>
    </row>
    <row r="94" spans="1:4">
      <c r="A94" s="8"/>
      <c r="B94" s="8"/>
      <c r="D94" s="1"/>
    </row>
    <row r="95" spans="1:4">
      <c r="A95" s="8"/>
      <c r="B95" s="8"/>
      <c r="D95" s="1"/>
    </row>
    <row r="96" spans="1:4">
      <c r="A96" s="8"/>
      <c r="D96" s="1"/>
    </row>
    <row r="97" spans="4:4">
      <c r="D97" s="6"/>
    </row>
  </sheetData>
  <mergeCells count="13">
    <mergeCell ref="A30:A32"/>
    <mergeCell ref="B30:B32"/>
    <mergeCell ref="C30:C32"/>
    <mergeCell ref="C4:C5"/>
    <mergeCell ref="C7:C8"/>
    <mergeCell ref="B4:B8"/>
    <mergeCell ref="B2:B3"/>
    <mergeCell ref="B10:B16"/>
    <mergeCell ref="A28:A29"/>
    <mergeCell ref="A25:A26"/>
    <mergeCell ref="B17:B24"/>
    <mergeCell ref="C17:C24"/>
    <mergeCell ref="A2:A24"/>
  </mergeCells>
  <phoneticPr fontId="2" type="noConversion"/>
  <conditionalFormatting sqref="F39:F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9:E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资产配置情况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2019-04-27T01:29:27Z</dcterms:modified>
</cp:coreProperties>
</file>