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 activeTab="1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8" i="1" l="1"/>
  <c r="R68" i="1"/>
  <c r="S68" i="1"/>
  <c r="T68" i="1"/>
  <c r="R67" i="1"/>
  <c r="S67" i="1"/>
  <c r="T67" i="1"/>
  <c r="D27" i="4"/>
  <c r="D16" i="4"/>
  <c r="D5" i="4"/>
  <c r="K117" i="1"/>
  <c r="J117" i="1"/>
  <c r="I116" i="1"/>
  <c r="K116" i="1"/>
  <c r="H116" i="1"/>
  <c r="J116" i="1"/>
  <c r="K115" i="1"/>
  <c r="J115" i="1"/>
  <c r="K114" i="1"/>
  <c r="J114" i="1"/>
  <c r="E3" i="5"/>
  <c r="V38" i="1"/>
  <c r="I2" i="1"/>
  <c r="K2" i="1"/>
  <c r="I61" i="1"/>
  <c r="K61" i="1"/>
  <c r="I110" i="1"/>
  <c r="K110" i="1"/>
  <c r="Y38" i="1"/>
  <c r="T38" i="1"/>
  <c r="H2" i="1"/>
  <c r="J2" i="1"/>
  <c r="H61" i="1"/>
  <c r="J61" i="1"/>
  <c r="H110" i="1"/>
  <c r="J110" i="1"/>
  <c r="X38" i="1"/>
  <c r="V37" i="1"/>
  <c r="T37" i="1"/>
  <c r="V21" i="1"/>
  <c r="I113" i="1"/>
  <c r="K113" i="1"/>
  <c r="T21" i="1"/>
  <c r="H113" i="1"/>
  <c r="J113" i="1"/>
  <c r="V13" i="1"/>
  <c r="I112" i="1"/>
  <c r="K112" i="1"/>
  <c r="T13" i="1"/>
  <c r="H112" i="1"/>
  <c r="J112" i="1"/>
  <c r="K111" i="1"/>
  <c r="J111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R56" i="1"/>
  <c r="R57" i="1"/>
  <c r="R58" i="1"/>
  <c r="R59" i="1"/>
  <c r="R60" i="1"/>
  <c r="R61" i="1"/>
  <c r="R62" i="1"/>
  <c r="R63" i="1"/>
  <c r="R64" i="1"/>
  <c r="R65" i="1"/>
  <c r="R66" i="1"/>
  <c r="S55" i="1"/>
  <c r="S56" i="1"/>
  <c r="S57" i="1"/>
  <c r="S58" i="1"/>
  <c r="S59" i="1"/>
  <c r="S60" i="1"/>
  <c r="S61" i="1"/>
  <c r="S62" i="1"/>
  <c r="S63" i="1"/>
  <c r="S64" i="1"/>
  <c r="S65" i="1"/>
  <c r="S66" i="1"/>
  <c r="T66" i="1"/>
  <c r="V39" i="1"/>
  <c r="I107" i="1"/>
  <c r="K107" i="1"/>
  <c r="Y39" i="1"/>
  <c r="T39" i="1"/>
  <c r="H107" i="1"/>
  <c r="J107" i="1"/>
  <c r="X39" i="1"/>
  <c r="K109" i="1"/>
  <c r="J109" i="1"/>
  <c r="K108" i="1"/>
  <c r="J108" i="1"/>
  <c r="V29" i="1"/>
  <c r="I106" i="1"/>
  <c r="K106" i="1"/>
  <c r="T29" i="1"/>
  <c r="H106" i="1"/>
  <c r="J106" i="1"/>
  <c r="K105" i="1"/>
  <c r="J105" i="1"/>
  <c r="J119" i="1"/>
  <c r="C22" i="4"/>
  <c r="G40" i="4"/>
  <c r="C3" i="4"/>
  <c r="D3" i="4"/>
  <c r="D22" i="4"/>
  <c r="V31" i="1"/>
  <c r="I104" i="1"/>
  <c r="K104" i="1"/>
  <c r="T31" i="1"/>
  <c r="H104" i="1"/>
  <c r="J104" i="1"/>
  <c r="I103" i="1"/>
  <c r="K103" i="1"/>
  <c r="H103" i="1"/>
  <c r="J103" i="1"/>
  <c r="J126" i="1"/>
  <c r="J124" i="1"/>
  <c r="J133" i="1"/>
  <c r="I101" i="1"/>
  <c r="K101" i="1"/>
  <c r="H101" i="1"/>
  <c r="J101" i="1"/>
  <c r="T34" i="1"/>
  <c r="H96" i="1"/>
  <c r="J96" i="1"/>
  <c r="X34" i="1"/>
  <c r="T18" i="1"/>
  <c r="H52" i="1"/>
  <c r="J52" i="1"/>
  <c r="H87" i="1"/>
  <c r="J87" i="1"/>
  <c r="T35" i="1"/>
  <c r="H97" i="1"/>
  <c r="J97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65" i="1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27" i="1"/>
  <c r="J135" i="1"/>
  <c r="J136" i="1"/>
  <c r="J138" i="1"/>
  <c r="Q4" i="1"/>
  <c r="S4" i="1"/>
  <c r="Q5" i="1"/>
  <c r="S5" i="1"/>
  <c r="Q6" i="1"/>
  <c r="S6" i="1"/>
  <c r="M140" i="1"/>
  <c r="J140" i="1"/>
  <c r="M144" i="1"/>
  <c r="J144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5" i="1"/>
  <c r="I96" i="1"/>
  <c r="K96" i="1"/>
  <c r="Y34" i="1"/>
  <c r="C9" i="4"/>
  <c r="G39" i="4"/>
  <c r="D9" i="4"/>
  <c r="D17" i="4"/>
  <c r="D13" i="4"/>
  <c r="D8" i="4"/>
  <c r="K100" i="1"/>
  <c r="I99" i="1"/>
  <c r="K99" i="1"/>
  <c r="K98" i="1"/>
  <c r="V35" i="1"/>
  <c r="I97" i="1"/>
  <c r="K97" i="1"/>
  <c r="K95" i="1"/>
  <c r="I94" i="1"/>
  <c r="K94" i="1"/>
  <c r="I93" i="1"/>
  <c r="K93" i="1"/>
  <c r="C58" i="7"/>
  <c r="S81" i="1"/>
  <c r="S77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39" i="1"/>
  <c r="J141" i="1"/>
  <c r="J142" i="1"/>
  <c r="J143" i="1"/>
  <c r="J145" i="1"/>
  <c r="J14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64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6" i="1"/>
  <c r="T57" i="1"/>
  <c r="T58" i="1"/>
  <c r="T59" i="1"/>
  <c r="T60" i="1"/>
  <c r="T61" i="1"/>
  <c r="T62" i="1"/>
  <c r="T63" i="1"/>
  <c r="R7" i="1"/>
  <c r="S7" i="1"/>
  <c r="S2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4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<sst xmlns="http://schemas.openxmlformats.org/spreadsheetml/2006/main" count="15611" uniqueCount="7547">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</sst>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8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0.1187868875</c:v>
                </c:pt>
                <c:pt idx="1">
                  <c:v>0.84276685</c:v>
                </c:pt>
                <c:pt idx="2">
                  <c:v>0.0384462625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0.2351108875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11.36622394649374</c:v>
                </c:pt>
                <c:pt idx="2">
                  <c:v>20.6941641782059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0.01220689201375</c:v>
                </c:pt>
                <c:pt idx="1">
                  <c:v>0.0675204291225</c:v>
                </c:pt>
                <c:pt idx="2">
                  <c:v>0.1173630120275</c:v>
                </c:pt>
                <c:pt idx="3">
                  <c:v>0.08328728048375</c:v>
                </c:pt>
                <c:pt idx="4">
                  <c:v>0.0484095227075</c:v>
                </c:pt>
                <c:pt idx="5">
                  <c:v>0.1127295196025</c:v>
                </c:pt>
                <c:pt idx="6">
                  <c:v>0.172646949355</c:v>
                </c:pt>
                <c:pt idx="7">
                  <c:v>0.09166968539125</c:v>
                </c:pt>
                <c:pt idx="8">
                  <c:v>0.00122904205625</c:v>
                </c:pt>
                <c:pt idx="9">
                  <c:v>0.02686368196875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I66" zoomScale="110" zoomScaleNormal="110" zoomScalePageLayoutView="110" workbookViewId="0">
      <selection activeCell="Q82" sqref="Q82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3" t="s">
        <v>206</v>
      </c>
      <c r="J1" s="2" t="s">
        <v>203</v>
      </c>
      <c r="K1" s="73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>H2*(-$M2)</f>
        <v>40163.78787878788</v>
      </c>
      <c r="K2" s="21">
        <f>I2*(-$M2)</f>
        <v>4858.522727272727</v>
      </c>
      <c r="L2" s="7" t="s">
        <v>10</v>
      </c>
      <c r="M2" s="4">
        <v>-3400</v>
      </c>
      <c r="N2" s="4">
        <v>4.08</v>
      </c>
      <c r="O2" s="4"/>
      <c r="P2" s="2" t="s">
        <v>51</v>
      </c>
      <c r="Q2">
        <v>800000</v>
      </c>
      <c r="R2" t="s">
        <v>208</v>
      </c>
      <c r="S2" s="18">
        <f>(SUM(S4:S7) - SUM(Q4:Q7))/$Q$2</f>
        <v>-8.6920325734375067E-2</v>
      </c>
      <c r="T2" s="18" t="s">
        <v>209</v>
      </c>
      <c r="U2" s="18">
        <f>(SUM(S4:S6) - SUM(Q4:Q6))/SUM(Q4:Q6)</f>
        <v>-0.12113465937193602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ref="J3:J66" si="0">H3*(-$M3)</f>
        <v>221027.08254269452</v>
      </c>
      <c r="K3" s="21">
        <f t="shared" ref="K3:K66" si="1">I3*(-$M3)</f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322677.04000000004</v>
      </c>
      <c r="R4" s="52">
        <v>-11081.7</v>
      </c>
      <c r="S4" s="68">
        <f>Q4+R4</f>
        <v>311595.34000000003</v>
      </c>
      <c r="T4" s="26">
        <f>S4/Q4-1</f>
        <v>-3.4343007485131305E-2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-3680.91</v>
      </c>
      <c r="S5" s="68">
        <f>Q5+R5</f>
        <v>8319.09</v>
      </c>
      <c r="T5" s="26">
        <f>S5/Q5-1</f>
        <v>-0.30674250000000003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v>-70522.66</v>
      </c>
      <c r="S6" s="68">
        <f>Q6+R6</f>
        <v>298853.70999999996</v>
      </c>
      <c r="T6" s="26">
        <f>S6/Q6-1</f>
        <v>-0.19092358290271794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95946.589999999967</v>
      </c>
      <c r="R7" s="11">
        <f>V68</f>
        <v>15749.009412500003</v>
      </c>
      <c r="S7" s="11">
        <f>Q7+R7</f>
        <v>111695.59941249997</v>
      </c>
      <c r="T7" s="26">
        <f>S7/Q7-1</f>
        <v>0.16414350330220184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54</v>
      </c>
      <c r="S11" s="15">
        <v>43430</v>
      </c>
      <c r="T11" s="2"/>
      <c r="U11" s="2"/>
      <c r="V11" s="73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2" t="s">
        <v>60</v>
      </c>
      <c r="S12" s="25" t="s">
        <v>199</v>
      </c>
      <c r="T12" s="2" t="s">
        <v>200</v>
      </c>
      <c r="U12" s="73" t="s">
        <v>201</v>
      </c>
      <c r="V12" s="73" t="s">
        <v>202</v>
      </c>
      <c r="W12" s="87" t="s">
        <v>7378</v>
      </c>
      <c r="X12" s="2" t="s">
        <v>197</v>
      </c>
      <c r="Y12" s="73" t="s">
        <v>198</v>
      </c>
      <c r="Z12" s="2" t="s">
        <v>63</v>
      </c>
      <c r="AA12" s="2"/>
    </row>
    <row r="13" spans="1:27" x14ac:dyDescent="0.2">
      <c r="A13" s="3">
        <v>42853</v>
      </c>
      <c r="B13" s="2" t="s">
        <v>17</v>
      </c>
      <c r="C13" s="2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25" si="2">S13/R13</f>
        <v>3.7630662020905925</v>
      </c>
      <c r="U13" s="57">
        <v>1.3</v>
      </c>
      <c r="V13" s="58">
        <f>U13/R13</f>
        <v>0.50329074719318623</v>
      </c>
      <c r="W13" s="86">
        <v>0.13389999999999999</v>
      </c>
      <c r="X13" s="74">
        <f>SUMIF(C:C,"=红利",J:J)/SUMIF(C:C,"=红利",M:M)*-1</f>
        <v>9.7880779075583284</v>
      </c>
      <c r="Y13" s="74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ref="V14:V34" si="3">U14/R14</f>
        <v>0.46444718454582817</v>
      </c>
      <c r="W14" s="86">
        <v>0.12509999999999999</v>
      </c>
      <c r="X14" s="74">
        <f>SUMIF(C:C,"=50ETF",J:J)/SUMIF(C:C,"=50ETF",M:M)*-1</f>
        <v>8.8261405672009872</v>
      </c>
      <c r="Y14" s="74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6">
        <v>0.12139999999999999</v>
      </c>
      <c r="X15" s="74">
        <f>SUMIF(C:C,"=300ETF",J:J)/SUMIF(C:C,"=300ETF",M:M)*-1</f>
        <v>11.36622394649374</v>
      </c>
      <c r="Y15" s="74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86">
        <v>9.5100000000000004E-2</v>
      </c>
      <c r="X16" s="74">
        <f>SUMIF(C:C,"=500ETF",J:J)/SUMIF(C:C,"=500ETF",M:M)*-1</f>
        <v>20.694164178205895</v>
      </c>
      <c r="Y16" s="74">
        <f>SUMIF(C:C,"=500ETF",K:K)/SUMIF(C:C,"=500ETF",M:M)*-1</f>
        <v>1.9660716271620711</v>
      </c>
      <c r="Z16" s="59">
        <f>(SUMIF(C:C,"=500ETF",M:M)*-1)/$Q$2</f>
        <v>0.23511088749999998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86">
        <v>8.3799999999999999E-2</v>
      </c>
      <c r="X17" s="74">
        <f>SUMIF(C:C,"=1000ETF",J:J)/SUMIF(C:C,"=1000ETF",M:M)*-1</f>
        <v>29.522340239990651</v>
      </c>
      <c r="Y17" s="74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86">
        <v>0.12429999999999999</v>
      </c>
      <c r="X18" s="74">
        <f>SUMIF(C:C,"=创业板",J:J)/SUMIF(C:C,"=创业板",M:M)*-1</f>
        <v>31.568188485981963</v>
      </c>
      <c r="Y18" s="74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86">
        <v>0.1163</v>
      </c>
      <c r="X19" s="74">
        <f>SUMIF(C:C,"=医药",J:J)/SUMIF(C:C,"=医药",M:M)*-1</f>
        <v>29.445647024026695</v>
      </c>
      <c r="Y19" s="74">
        <f>SUMIF(C:C,"=医药",K:K)/SUMIF(C:C,"=医药",M:M)*-1</f>
        <v>3.4233458062687219</v>
      </c>
      <c r="Z19" s="120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86">
        <v>0.1163</v>
      </c>
      <c r="X20" s="74">
        <f>SUMIF(C:C,"=医药",J:J)/SUMIF(C:C,"=医药",M:M)*-1</f>
        <v>29.445647024026695</v>
      </c>
      <c r="Y20" s="74">
        <f>SUMIF(C:C,"=医药",K:K)/SUMIF(C:C,"=医药",M:M)*-1</f>
        <v>3.4233458062687219</v>
      </c>
      <c r="Z20" s="121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86">
        <v>0.1275</v>
      </c>
      <c r="X21" s="74">
        <f>SUMIF(C:C,"=养老",J:J)/SUMIF(C:C,"=养老",M:M)*-1</f>
        <v>23.560825948031592</v>
      </c>
      <c r="Y21" s="74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 t="shared" ref="I22:I23" si="4"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86">
        <v>5.0200000000000002E-2</v>
      </c>
      <c r="X22" s="74">
        <f>SUMIF(C:C,"=证券",J:J)/SUMIF(C:C,"=证券",M:M)*-1</f>
        <v>26.395822169721239</v>
      </c>
      <c r="Y22" s="74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 t="shared" si="4"/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86">
        <v>8.43E-2</v>
      </c>
      <c r="X23" s="74">
        <f>SUMIF(C:C,"=环保",J:J)/SUMIF(C:C,"=环保",M:M)*-1</f>
        <v>25.074858016687536</v>
      </c>
      <c r="Y23" s="74">
        <f>SUMIF(C:C,"=环保",K:K)/SUMIF(C:C,"=环保",M:M)*-1</f>
        <v>2.116964940055948</v>
      </c>
      <c r="Z23" s="120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86">
        <v>8.43E-2</v>
      </c>
      <c r="X24" s="74">
        <f>SUMIF(C:C,"=环保",J:J)/SUMIF(C:C,"=环保",M:M)*-1</f>
        <v>25.074858016687536</v>
      </c>
      <c r="Y24" s="74">
        <f>SUMIF(C:C,"=环保",K:K)/SUMIF(C:C,"=环保",M:M)*-1</f>
        <v>2.116964940055948</v>
      </c>
      <c r="Z24" s="121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86">
        <v>0.1138</v>
      </c>
      <c r="X25" s="74">
        <f>SUMIF(C:C,"=传媒",J:J)/SUMIF(C:C,"=传媒",M:M)*-1</f>
        <v>27.611121357189571</v>
      </c>
      <c r="Y25" s="74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ref="T26:T34" si="5">S26/R26</f>
        <v>10.701545778834721</v>
      </c>
      <c r="U26" s="57">
        <v>1.1299999999999999</v>
      </c>
      <c r="V26" s="58">
        <f t="shared" si="3"/>
        <v>1.3436385255648038</v>
      </c>
      <c r="W26" s="8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5"/>
        <v>10.028705796127772</v>
      </c>
      <c r="U27" s="57">
        <v>1.56</v>
      </c>
      <c r="V27" s="58">
        <f t="shared" si="3"/>
        <v>0.95278812679411229</v>
      </c>
      <c r="W27" s="8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 t="shared" ref="I28:I29" si="6"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5"/>
        <v>35.085470085470085</v>
      </c>
      <c r="U28" s="57">
        <v>1.56</v>
      </c>
      <c r="V28" s="58">
        <f t="shared" si="3"/>
        <v>3.333333333333333</v>
      </c>
      <c r="W28" s="86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 t="shared" si="6"/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5"/>
        <v>9.861861861861863</v>
      </c>
      <c r="U29" s="57">
        <v>1.56</v>
      </c>
      <c r="V29" s="58">
        <f t="shared" si="3"/>
        <v>0.93693693693693691</v>
      </c>
      <c r="W29" s="8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65" t="s">
        <v>168</v>
      </c>
      <c r="Q30" s="63" t="s">
        <v>190</v>
      </c>
      <c r="R30" s="64">
        <v>0.74580000000000002</v>
      </c>
      <c r="S30" s="57">
        <v>16.420000000000002</v>
      </c>
      <c r="T30" s="58">
        <f t="shared" si="5"/>
        <v>22.016626441405204</v>
      </c>
      <c r="U30" s="57">
        <v>1.56</v>
      </c>
      <c r="V30" s="58">
        <f t="shared" si="3"/>
        <v>2.091713596138375</v>
      </c>
      <c r="W30" s="8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65" t="s">
        <v>169</v>
      </c>
      <c r="Q31" s="63">
        <v>100038</v>
      </c>
      <c r="R31" s="64">
        <v>1.6060000000000001</v>
      </c>
      <c r="S31" s="57">
        <v>10.75</v>
      </c>
      <c r="T31" s="58">
        <f t="shared" si="5"/>
        <v>6.6936488169364878</v>
      </c>
      <c r="U31" s="57">
        <v>1.31</v>
      </c>
      <c r="V31" s="58">
        <f t="shared" si="3"/>
        <v>0.81569115815691162</v>
      </c>
      <c r="W31" s="8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5"/>
        <v>10.179924242424242</v>
      </c>
      <c r="U32" s="57">
        <v>1.31</v>
      </c>
      <c r="V32" s="58">
        <f t="shared" si="3"/>
        <v>1.240530303030303</v>
      </c>
      <c r="W32" s="8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5"/>
        <v>31.261538461538461</v>
      </c>
      <c r="U33" s="57">
        <v>2.31</v>
      </c>
      <c r="V33" s="58">
        <f t="shared" si="3"/>
        <v>3.5538461538461537</v>
      </c>
      <c r="W33" s="8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si="0"/>
        <v>105429.63797264683</v>
      </c>
      <c r="K34" s="21">
        <f t="shared" si="1"/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5"/>
        <v>12.868137506413545</v>
      </c>
      <c r="U34" s="57">
        <v>4.6100000000000003</v>
      </c>
      <c r="V34" s="58">
        <f t="shared" si="3"/>
        <v>2.3653155464340689</v>
      </c>
      <c r="W34" s="99">
        <v>0.18379999999999999</v>
      </c>
      <c r="X34" s="74">
        <f>SUMIF(C:C,"=消费",J:J)/SUMIF(C:C,"=消费",M:M)*-1</f>
        <v>22.043119548486402</v>
      </c>
      <c r="Y34" s="74">
        <f>SUMIF(C:C,"=消费",K:K)/SUMIF(C:C,"=消费",M:M)*-1</f>
        <v>4.0517855310415607</v>
      </c>
      <c r="Z34" s="99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0"/>
        <v>105328.96355648346</v>
      </c>
      <c r="K35" s="21">
        <f t="shared" si="1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>S35/R35</f>
        <v>21.396206128561552</v>
      </c>
      <c r="U35" s="57">
        <v>3.46</v>
      </c>
      <c r="V35" s="58">
        <f>U35/R35</f>
        <v>2.657245987251363</v>
      </c>
      <c r="W35" s="99">
        <v>0.12429999999999999</v>
      </c>
      <c r="X35" s="61"/>
      <c r="Y35" s="61"/>
      <c r="Z35" s="99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5" t="s">
        <v>7427</v>
      </c>
      <c r="Q36" s="63" t="s">
        <v>7428</v>
      </c>
      <c r="R36" s="64">
        <v>0.71660000000000001</v>
      </c>
      <c r="S36" s="57">
        <v>27.86</v>
      </c>
      <c r="T36" s="58">
        <f>S36/R36</f>
        <v>38.878035166061956</v>
      </c>
      <c r="U36" s="57">
        <v>3.46</v>
      </c>
      <c r="V36" s="58">
        <f>U36/R36</f>
        <v>4.8283561261512693</v>
      </c>
      <c r="W36" s="99">
        <v>0.12429999999999999</v>
      </c>
      <c r="X36" s="61"/>
      <c r="Y36" s="61"/>
      <c r="Z36" s="99"/>
    </row>
    <row r="37" spans="1:27" x14ac:dyDescent="0.2">
      <c r="A37" s="3">
        <v>43235</v>
      </c>
      <c r="B37" s="2" t="s">
        <v>23</v>
      </c>
      <c r="C37" s="2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0"/>
        <v>191042.18493172689</v>
      </c>
      <c r="K37" s="21">
        <f t="shared" si="1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8">
        <v>8.1999999999999993</v>
      </c>
      <c r="T37" s="58">
        <f>S37/R37</f>
        <v>9.0228873239436602</v>
      </c>
      <c r="U37" s="118">
        <v>1</v>
      </c>
      <c r="V37" s="58">
        <f>U37/R37</f>
        <v>1.1003521126760563</v>
      </c>
      <c r="W37" s="86"/>
      <c r="X37" s="74">
        <f>SUMIF(C:C,"=金融地产",J:J)/SUMIF(C:C,"=金融地产",M:M)*-1</f>
        <v>8.1933832159624398</v>
      </c>
      <c r="Y37" s="74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2" t="s">
        <v>20</v>
      </c>
      <c r="C38" s="2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0"/>
        <v>510090.8436841786</v>
      </c>
      <c r="K38" s="21">
        <f t="shared" si="1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64">
        <v>1.056</v>
      </c>
      <c r="S38" s="118">
        <v>12.4</v>
      </c>
      <c r="T38" s="58">
        <f>S38/R38</f>
        <v>11.742424242424242</v>
      </c>
      <c r="U38" s="118">
        <v>1.5</v>
      </c>
      <c r="V38" s="58">
        <f>U38/R38</f>
        <v>1.4204545454545454</v>
      </c>
      <c r="W38" s="86"/>
      <c r="X38" s="74">
        <f>SUMIF(C:C,"=德国30",J:J)/SUMIF(C:C,"=德国30",M:M)*-1</f>
        <v>13.037570145903478</v>
      </c>
      <c r="Y38" s="74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2" t="s">
        <v>21</v>
      </c>
      <c r="C39" s="2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8">
        <v>10.31</v>
      </c>
      <c r="T39" s="58">
        <f>S39/R39</f>
        <v>7.0490906604676615</v>
      </c>
      <c r="U39" s="118">
        <v>1.17</v>
      </c>
      <c r="V39" s="58">
        <f>U39/R39</f>
        <v>0.79994530288527277</v>
      </c>
      <c r="W39" s="58"/>
      <c r="X39" s="74">
        <f>SUMIF(C:C,"=恒生",J:J)/SUMIF(C:C,"=恒生",M:M)*-1</f>
        <v>10.222591275810203</v>
      </c>
      <c r="Y39" s="74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2" t="s">
        <v>22</v>
      </c>
      <c r="C40" s="2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0"/>
        <v>377046.40028059151</v>
      </c>
      <c r="K40" s="21">
        <f t="shared" si="1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11"/>
      <c r="Y40" s="111"/>
      <c r="Z40" s="110">
        <f>(SUMIF(C:C,"=海外互联网",M:M)*-1)/$Q$2</f>
        <v>1.6E-2</v>
      </c>
    </row>
    <row r="41" spans="1:27" x14ac:dyDescent="0.2">
      <c r="A41" s="3">
        <v>43245</v>
      </c>
      <c r="B41" s="2" t="s">
        <v>23</v>
      </c>
      <c r="C41" s="2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0"/>
        <v>191042.18493172689</v>
      </c>
      <c r="K41" s="21">
        <f t="shared" si="1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2"/>
      <c r="T41" s="2"/>
      <c r="U41" s="73"/>
      <c r="V41" s="73"/>
      <c r="W41" s="87"/>
      <c r="X41" s="2"/>
      <c r="Y41" s="73"/>
      <c r="Z41" s="110">
        <f>(SUMIF(C:C,"=国债",M:M)*-1)/$Q$2</f>
        <v>-1.1850999999999999E-3</v>
      </c>
    </row>
    <row r="42" spans="1:27" x14ac:dyDescent="0.2">
      <c r="A42" s="3">
        <v>43250</v>
      </c>
      <c r="B42" s="2" t="s">
        <v>18</v>
      </c>
      <c r="C42" s="2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0"/>
        <v>144361.55219117287</v>
      </c>
      <c r="K42" s="21">
        <f t="shared" si="1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2"/>
      <c r="T42" s="2"/>
      <c r="U42" s="73"/>
      <c r="V42" s="73"/>
      <c r="W42" s="87"/>
      <c r="X42" s="2"/>
      <c r="Y42" s="73"/>
      <c r="Z42" s="59">
        <f>(SUMIF(C:C,"=海外债",M:M)*-1)/$Q$2</f>
        <v>6.4313999999999994E-3</v>
      </c>
    </row>
    <row r="43" spans="1:27" x14ac:dyDescent="0.2">
      <c r="A43" s="3">
        <v>43251</v>
      </c>
      <c r="B43" s="2" t="s">
        <v>31</v>
      </c>
      <c r="C43" s="2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2"/>
      <c r="T43" s="2"/>
      <c r="U43" s="73"/>
      <c r="V43" s="73"/>
      <c r="W43" s="87"/>
      <c r="X43" s="2"/>
      <c r="Y43" s="73"/>
      <c r="Z43" s="120">
        <f>(SUMIF(C:C,"=可转债",M:M)*-1)/$Q$2</f>
        <v>5.6000000000000001E-2</v>
      </c>
    </row>
    <row r="44" spans="1:27" x14ac:dyDescent="0.2">
      <c r="A44" s="3">
        <v>43265</v>
      </c>
      <c r="B44" s="2" t="s">
        <v>18</v>
      </c>
      <c r="C44" s="2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0"/>
        <v>139781.99129613623</v>
      </c>
      <c r="K44" s="21">
        <f t="shared" si="1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6"/>
      <c r="T44" s="116"/>
      <c r="U44" s="116"/>
      <c r="V44" s="116"/>
      <c r="W44" s="116"/>
      <c r="X44" s="116"/>
      <c r="Y44" s="116"/>
      <c r="Z44" s="121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0"/>
        <v>54512.676056338008</v>
      </c>
      <c r="K45" s="21">
        <f t="shared" si="1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6"/>
      <c r="T45" s="116"/>
      <c r="U45" s="116"/>
      <c r="V45" s="116"/>
      <c r="W45" s="116"/>
      <c r="X45" s="116"/>
      <c r="Y45" s="116"/>
      <c r="Z45" s="121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0"/>
        <v>404293.95680756366</v>
      </c>
      <c r="K46" s="21">
        <f t="shared" si="1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64">
        <v>0.51</v>
      </c>
      <c r="S46" s="113"/>
      <c r="T46" s="113"/>
      <c r="U46" s="113"/>
      <c r="V46" s="113"/>
      <c r="W46" s="113"/>
      <c r="X46" s="113"/>
      <c r="Y46" s="113"/>
      <c r="Z46" s="112">
        <f>(SUMIF(C:C,"=原油",M:M)*-1)/$Q$2</f>
        <v>1.6E-2</v>
      </c>
    </row>
    <row r="47" spans="1:27" x14ac:dyDescent="0.2">
      <c r="A47" s="3">
        <v>43270</v>
      </c>
      <c r="B47" s="2" t="s">
        <v>39</v>
      </c>
      <c r="C47" s="2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0"/>
        <v>81059.690313851112</v>
      </c>
      <c r="K47" s="21">
        <f t="shared" si="1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2"/>
      <c r="T47" s="2"/>
      <c r="U47" s="73"/>
      <c r="V47" s="73"/>
      <c r="W47" s="87"/>
      <c r="X47" s="2"/>
      <c r="Y47" s="73"/>
      <c r="Z47" s="59">
        <f>(SUMIF(C:C,"=黄金",M:M)*-1)/$Q$2</f>
        <v>8.0536124999999997E-3</v>
      </c>
    </row>
    <row r="48" spans="1:27" x14ac:dyDescent="0.2">
      <c r="A48" s="3">
        <v>43270</v>
      </c>
      <c r="B48" s="2" t="s">
        <v>18</v>
      </c>
      <c r="C48" s="2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 t="shared" ref="I48:I49" si="7">F48*$V$16</f>
        <v>1.9106204695085458</v>
      </c>
      <c r="J48" s="21">
        <f t="shared" si="0"/>
        <v>255605.32549045695</v>
      </c>
      <c r="K48" s="21">
        <f t="shared" si="1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2"/>
      <c r="T48" s="2"/>
      <c r="U48" s="73"/>
      <c r="V48" s="73"/>
      <c r="W48" s="87"/>
      <c r="X48" s="2"/>
      <c r="Y48" s="73"/>
      <c r="Z48" s="59">
        <f>(SUMIF(C:C,"=白银",M:M)*-1)/$Q$2</f>
        <v>1.4392650000000002E-2</v>
      </c>
    </row>
    <row r="49" spans="1:26" x14ac:dyDescent="0.2">
      <c r="A49" s="3">
        <v>43270</v>
      </c>
      <c r="B49" s="2" t="s">
        <v>18</v>
      </c>
      <c r="C49" s="2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 t="shared" si="7"/>
        <v>1.8718893396289156</v>
      </c>
      <c r="J49" s="21">
        <f t="shared" si="0"/>
        <v>128007.35019706946</v>
      </c>
      <c r="K49" s="21">
        <f t="shared" si="1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2"/>
      <c r="S49" s="2"/>
      <c r="T49" s="2"/>
      <c r="U49" s="73"/>
      <c r="V49" s="73"/>
      <c r="W49" s="87"/>
      <c r="X49" s="2"/>
      <c r="Y49" s="73"/>
      <c r="Z49" s="59">
        <f>1-SUM(Z13:Z48)</f>
        <v>0.11354058749999996</v>
      </c>
    </row>
    <row r="50" spans="1:26" x14ac:dyDescent="0.2">
      <c r="A50" s="3">
        <v>43270</v>
      </c>
      <c r="B50" s="2" t="s">
        <v>31</v>
      </c>
      <c r="C50" s="2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3"/>
      <c r="S50" s="113"/>
      <c r="T50" s="113"/>
      <c r="U50" s="113"/>
      <c r="V50" s="113"/>
      <c r="W50" s="113"/>
      <c r="X50" s="113"/>
      <c r="Y50" s="113"/>
      <c r="Z50" s="112"/>
    </row>
    <row r="51" spans="1:26" x14ac:dyDescent="0.2">
      <c r="A51" s="3">
        <v>43270</v>
      </c>
      <c r="B51" s="2" t="s">
        <v>22</v>
      </c>
      <c r="C51" s="2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0"/>
        <v>162614.70029079961</v>
      </c>
      <c r="K51" s="21">
        <f t="shared" si="1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3"/>
      <c r="S51" s="113"/>
      <c r="T51" s="113"/>
      <c r="U51" s="113"/>
      <c r="V51" s="113"/>
      <c r="W51" s="113"/>
      <c r="X51" s="113"/>
      <c r="Y51" s="113"/>
      <c r="Z51" s="112"/>
    </row>
    <row r="52" spans="1:26" x14ac:dyDescent="0.2">
      <c r="A52" s="3">
        <v>43271</v>
      </c>
      <c r="B52" s="2" t="s">
        <v>40</v>
      </c>
      <c r="C52" s="2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0"/>
        <v>223748.17601422642</v>
      </c>
      <c r="K52" s="21">
        <f t="shared" si="1"/>
        <v>27787.820854602422</v>
      </c>
      <c r="L52" s="5" t="s">
        <v>24</v>
      </c>
      <c r="M52" s="1">
        <v>-6460.49</v>
      </c>
      <c r="N52" s="4">
        <v>1.29</v>
      </c>
      <c r="O52" s="4"/>
      <c r="P52" s="2"/>
      <c r="Q52" s="2"/>
      <c r="R52" s="2"/>
      <c r="S52" s="2"/>
      <c r="T52" s="2"/>
      <c r="U52" s="2"/>
      <c r="V52" s="73"/>
      <c r="W52" s="2"/>
    </row>
    <row r="53" spans="1:26" x14ac:dyDescent="0.2">
      <c r="A53" s="3">
        <v>43279</v>
      </c>
      <c r="B53" s="2" t="s">
        <v>39</v>
      </c>
      <c r="C53" s="2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0"/>
        <v>72614.127004765367</v>
      </c>
      <c r="K53" s="21">
        <f t="shared" si="1"/>
        <v>8848.7912908132694</v>
      </c>
      <c r="L53" s="5" t="s">
        <v>24</v>
      </c>
      <c r="M53" s="1">
        <v>-6207.64</v>
      </c>
      <c r="N53" s="4">
        <v>1.24</v>
      </c>
      <c r="O53" s="4"/>
      <c r="P53" s="2"/>
      <c r="Q53" s="2"/>
      <c r="R53" s="2" t="s">
        <v>118</v>
      </c>
      <c r="S53" s="2"/>
      <c r="T53" s="2"/>
      <c r="U53" s="2"/>
      <c r="V53" s="73"/>
      <c r="W53" s="2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0"/>
        <v>141997.7889195263</v>
      </c>
      <c r="K54" s="21">
        <f t="shared" si="1"/>
        <v>11988.276883085335</v>
      </c>
      <c r="L54" s="5" t="s">
        <v>24</v>
      </c>
      <c r="M54" s="1">
        <v>-6418.88</v>
      </c>
      <c r="N54" s="4">
        <v>1.28</v>
      </c>
      <c r="O54" s="4"/>
      <c r="P54" s="2"/>
      <c r="Q54" s="2" t="s">
        <v>7373</v>
      </c>
      <c r="R54" s="2" t="s">
        <v>160</v>
      </c>
      <c r="S54" s="2" t="s">
        <v>161</v>
      </c>
      <c r="T54" s="2" t="s">
        <v>162</v>
      </c>
      <c r="U54" s="2" t="s">
        <v>163</v>
      </c>
      <c r="V54" s="73"/>
      <c r="W54" s="2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ref="J55" si="8">H55*(-$M55)</f>
        <v>49084.507042253514</v>
      </c>
      <c r="K55" s="21">
        <f t="shared" ref="K55" si="9">I55*(-$M55)</f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2">
        <v>0</v>
      </c>
      <c r="R55" s="2">
        <v>93506.63</v>
      </c>
      <c r="S55" s="2">
        <f>$Q$2-R55</f>
        <v>706493.37</v>
      </c>
      <c r="T55" s="2">
        <v>0</v>
      </c>
      <c r="U55" s="60">
        <v>3.5000000000000003E-2</v>
      </c>
      <c r="V55" s="60"/>
      <c r="W55" s="2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0"/>
        <v>62906.425087108015</v>
      </c>
      <c r="K56" s="21">
        <f t="shared" si="1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50">
        <v>6627.55</v>
      </c>
      <c r="R56" s="50">
        <f t="shared" ref="R56:R65" si="10">R55+Q56</f>
        <v>100134.18000000001</v>
      </c>
      <c r="S56" s="50">
        <f t="shared" ref="S56:S65" si="11">S55-Q56</f>
        <v>699865.82</v>
      </c>
      <c r="T56" s="50">
        <f>(S55*$U$55)/12</f>
        <v>2060.6056625000001</v>
      </c>
      <c r="U56" s="2"/>
      <c r="V56" s="73"/>
      <c r="W56" s="2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0"/>
        <v>161603.86213761356</v>
      </c>
      <c r="K57" s="21">
        <f t="shared" si="1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50">
        <v>65662.720000000001</v>
      </c>
      <c r="R57" s="50">
        <f t="shared" si="10"/>
        <v>165796.90000000002</v>
      </c>
      <c r="S57" s="50">
        <f t="shared" si="11"/>
        <v>634203.1</v>
      </c>
      <c r="T57" s="50">
        <f t="shared" ref="T57:T62" si="12">(S56*$U$55)/12</f>
        <v>2041.2753083333334</v>
      </c>
      <c r="U57" s="2"/>
      <c r="V57" s="73"/>
      <c r="W57" s="2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0"/>
        <v>62472.919860627175</v>
      </c>
      <c r="K58" s="21">
        <f t="shared" si="1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50">
        <v>0</v>
      </c>
      <c r="R58" s="50">
        <f t="shared" si="10"/>
        <v>165796.90000000002</v>
      </c>
      <c r="S58" s="50">
        <f t="shared" si="11"/>
        <v>634203.1</v>
      </c>
      <c r="T58" s="50">
        <f>(S57*$U$55)/12</f>
        <v>1849.7590416666669</v>
      </c>
      <c r="U58" s="2"/>
      <c r="V58" s="73"/>
      <c r="W58" s="2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50">
        <v>54032.87</v>
      </c>
      <c r="R59" s="50">
        <f t="shared" si="10"/>
        <v>219829.77000000002</v>
      </c>
      <c r="S59" s="50">
        <f t="shared" si="11"/>
        <v>580170.23</v>
      </c>
      <c r="T59" s="50">
        <f t="shared" si="12"/>
        <v>1849.7590416666669</v>
      </c>
      <c r="U59" s="2"/>
      <c r="V59" s="73"/>
      <c r="W59" s="2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0"/>
        <v>56871.148483353885</v>
      </c>
      <c r="K60" s="21">
        <f t="shared" si="1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50">
        <v>89910.99</v>
      </c>
      <c r="R60" s="50">
        <f t="shared" si="10"/>
        <v>309740.76</v>
      </c>
      <c r="S60" s="50">
        <f t="shared" si="11"/>
        <v>490259.24</v>
      </c>
      <c r="T60" s="50">
        <f t="shared" si="12"/>
        <v>1692.1631708333334</v>
      </c>
      <c r="U60" s="2"/>
      <c r="V60" s="73"/>
      <c r="W60" s="2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0"/>
        <v>89956.363636363647</v>
      </c>
      <c r="K61" s="21">
        <f t="shared" si="1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50">
        <v>89683.87</v>
      </c>
      <c r="R61" s="50">
        <f t="shared" si="10"/>
        <v>399424.63</v>
      </c>
      <c r="S61" s="50">
        <f t="shared" si="11"/>
        <v>400575.37</v>
      </c>
      <c r="T61" s="50">
        <f t="shared" si="12"/>
        <v>1429.9227833333334</v>
      </c>
      <c r="U61" s="2"/>
      <c r="V61" s="73"/>
      <c r="W61" s="2"/>
    </row>
    <row r="62" spans="1:26" x14ac:dyDescent="0.2">
      <c r="A62" s="3">
        <v>43297</v>
      </c>
      <c r="B62" s="2" t="s">
        <v>23</v>
      </c>
      <c r="C62" s="2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0"/>
        <v>163847.31751127588</v>
      </c>
      <c r="K62" s="21">
        <f t="shared" si="1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50">
        <v>52162.37</v>
      </c>
      <c r="R62" s="50">
        <f t="shared" si="10"/>
        <v>451587</v>
      </c>
      <c r="S62" s="50">
        <f t="shared" si="11"/>
        <v>348413</v>
      </c>
      <c r="T62" s="50">
        <f t="shared" si="12"/>
        <v>1168.3448291666666</v>
      </c>
      <c r="U62" s="2"/>
      <c r="V62" s="73"/>
      <c r="W62" s="2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50">
        <v>59031.360000000001</v>
      </c>
      <c r="R63" s="50">
        <f t="shared" si="10"/>
        <v>510618.36</v>
      </c>
      <c r="S63" s="50">
        <f t="shared" si="11"/>
        <v>289381.64</v>
      </c>
      <c r="T63" s="50">
        <f>(S62*$U$55)/12</f>
        <v>1016.2045833333335</v>
      </c>
      <c r="U63" s="2"/>
      <c r="V63" s="73"/>
      <c r="W63" s="2"/>
    </row>
    <row r="64" spans="1:26" x14ac:dyDescent="0.2">
      <c r="A64" s="3">
        <v>43313</v>
      </c>
      <c r="B64" s="2" t="s">
        <v>19</v>
      </c>
      <c r="C64" s="2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0"/>
        <v>85526.935597887583</v>
      </c>
      <c r="K64" s="21">
        <f t="shared" si="1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50">
        <v>54609.62</v>
      </c>
      <c r="R64" s="61">
        <f t="shared" si="10"/>
        <v>565227.98</v>
      </c>
      <c r="S64" s="61">
        <f t="shared" si="11"/>
        <v>234772.02000000002</v>
      </c>
      <c r="T64" s="61">
        <f>(S63*$U$55)/12</f>
        <v>844.0297833333334</v>
      </c>
      <c r="U64" s="2"/>
      <c r="V64" s="73"/>
      <c r="W64" s="2"/>
    </row>
    <row r="65" spans="1:22" x14ac:dyDescent="0.2">
      <c r="A65" s="3">
        <v>43313</v>
      </c>
      <c r="B65" s="2" t="s">
        <v>18</v>
      </c>
      <c r="C65" s="2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0"/>
        <v>128385.96203365034</v>
      </c>
      <c r="K65" s="21">
        <f t="shared" si="1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50">
        <v>70013.06</v>
      </c>
      <c r="R65" s="61">
        <f t="shared" si="10"/>
        <v>635241.04</v>
      </c>
      <c r="S65" s="61">
        <f t="shared" si="11"/>
        <v>164758.96000000002</v>
      </c>
      <c r="T65" s="61">
        <f t="shared" ref="T65" si="13">(S64*$U$55)/12</f>
        <v>684.75172500000008</v>
      </c>
      <c r="U65" s="2"/>
      <c r="V65" s="73"/>
    </row>
    <row r="66" spans="1:22" x14ac:dyDescent="0.2">
      <c r="A66" s="3">
        <v>43318</v>
      </c>
      <c r="B66" s="2" t="s">
        <v>19</v>
      </c>
      <c r="C66" s="2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si="0"/>
        <v>80171.889039607689</v>
      </c>
      <c r="K66" s="21">
        <f t="shared" si="1"/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50">
        <v>46876.7</v>
      </c>
      <c r="R66" s="61">
        <f t="shared" ref="R66" si="14">R65+Q66</f>
        <v>682117.74</v>
      </c>
      <c r="S66" s="61">
        <f t="shared" ref="S66" si="15">S65-Q66</f>
        <v>117882.26000000002</v>
      </c>
      <c r="T66" s="61">
        <f t="shared" ref="T66" si="16">(S65*$U$55)/12</f>
        <v>480.54696666666678</v>
      </c>
      <c r="U66" s="2"/>
      <c r="V66" s="73"/>
    </row>
    <row r="67" spans="1:22" x14ac:dyDescent="0.2">
      <c r="A67" s="3">
        <v>43318</v>
      </c>
      <c r="B67" s="2" t="s">
        <v>18</v>
      </c>
      <c r="C67" s="2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ref="J67:J82" si="17">H67*(-$M67)</f>
        <v>115600.68130930372</v>
      </c>
      <c r="K67" s="21">
        <f t="shared" ref="K67:K82" si="18">I67*(-$M67)</f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ref="R67" si="19">R66+Q67</f>
        <v>701317.74</v>
      </c>
      <c r="S67" s="61">
        <f t="shared" ref="S67" si="20">S66-Q67</f>
        <v>98682.260000000024</v>
      </c>
      <c r="T67" s="61">
        <f t="shared" ref="T67" si="21">(S66*$U$55)/12</f>
        <v>343.8232583333334</v>
      </c>
      <c r="V67" s="2" t="s">
        <v>7546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17"/>
        <v>71749.690895319844</v>
      </c>
      <c r="K68" s="21">
        <f t="shared" si="18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ref="R68" si="22">R67+Q68</f>
        <v>713735.79</v>
      </c>
      <c r="S68" s="61">
        <f t="shared" ref="S68" si="23">S67-Q68</f>
        <v>86264.210000000021</v>
      </c>
      <c r="T68" s="61">
        <f t="shared" ref="T68" si="24">(S67*$U$55)/12</f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2" t="s">
        <v>17</v>
      </c>
      <c r="C69" s="2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17"/>
        <v>195116.83608879999</v>
      </c>
      <c r="K69" s="21">
        <f t="shared" si="18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7"/>
        <v>0</v>
      </c>
      <c r="K70" s="21">
        <f t="shared" si="18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17"/>
        <v>62424.752613240424</v>
      </c>
      <c r="K71" s="21">
        <f t="shared" si="18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7"/>
        <v>0</v>
      </c>
      <c r="K72" s="21">
        <f t="shared" si="18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43329</v>
      </c>
      <c r="B73" s="3" t="s">
        <v>5</v>
      </c>
      <c r="C73" s="3" t="s">
        <v>150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22.671743187756626</v>
      </c>
      <c r="I73" s="21">
        <f>E73*$V$21</f>
        <v>2.8926017170586036</v>
      </c>
      <c r="J73" s="21">
        <f t="shared" si="17"/>
        <v>145099.15640164239</v>
      </c>
      <c r="K73" s="21">
        <f t="shared" si="18"/>
        <v>18512.650989175061</v>
      </c>
      <c r="L73" s="7" t="s">
        <v>10</v>
      </c>
      <c r="M73" s="4">
        <v>-6400</v>
      </c>
      <c r="N73" s="4">
        <v>7.67</v>
      </c>
      <c r="O73" s="4"/>
      <c r="R73" s="15"/>
    </row>
    <row r="74" spans="1:22" x14ac:dyDescent="0.2">
      <c r="A74" s="3">
        <v>43329</v>
      </c>
      <c r="B74" s="3" t="s">
        <v>2</v>
      </c>
      <c r="C74" s="3" t="s">
        <v>125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29.868524667931691</v>
      </c>
      <c r="I74" s="21">
        <f>F74*$V$20</f>
        <v>3.4725094876660338</v>
      </c>
      <c r="J74" s="21">
        <f t="shared" si="17"/>
        <v>191158.55787476283</v>
      </c>
      <c r="K74" s="21">
        <f t="shared" si="18"/>
        <v>22224.060721062615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 x14ac:dyDescent="0.2">
      <c r="A75" s="3">
        <v>43332</v>
      </c>
      <c r="B75" s="3" t="s">
        <v>5</v>
      </c>
      <c r="C75" s="3" t="s">
        <v>150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25.250603459002118</v>
      </c>
      <c r="I75" s="21">
        <f>E75*$V$21</f>
        <v>2.8900236406619384</v>
      </c>
      <c r="J75" s="21">
        <f t="shared" si="17"/>
        <v>161603.86213761356</v>
      </c>
      <c r="K75" s="21">
        <f t="shared" si="18"/>
        <v>18496.151300236404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6">
        <v>4024.08</v>
      </c>
      <c r="R75" s="119"/>
      <c r="S75" s="102">
        <f>R75/Q75-1</f>
        <v>-1</v>
      </c>
    </row>
    <row r="76" spans="1:22" x14ac:dyDescent="0.2">
      <c r="A76" s="3">
        <v>43332</v>
      </c>
      <c r="B76" s="2" t="s">
        <v>23</v>
      </c>
      <c r="C76" s="2" t="s">
        <v>142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22.975347544022242</v>
      </c>
      <c r="I76" s="21">
        <f>F76*$V$25</f>
        <v>2.6118628359592218</v>
      </c>
      <c r="J76" s="21">
        <f t="shared" si="17"/>
        <v>146345.38199073216</v>
      </c>
      <c r="K76" s="21">
        <f t="shared" si="18"/>
        <v>16636.704350324377</v>
      </c>
      <c r="L76" s="5" t="s">
        <v>24</v>
      </c>
      <c r="M76" s="1">
        <v>-6369.67</v>
      </c>
      <c r="N76" s="4">
        <v>1.27</v>
      </c>
      <c r="O76" s="4"/>
      <c r="P76" s="97" t="s">
        <v>7414</v>
      </c>
      <c r="Q76" s="96">
        <v>2591.84</v>
      </c>
      <c r="R76" s="119"/>
      <c r="S76" s="60"/>
    </row>
    <row r="77" spans="1:22" x14ac:dyDescent="0.2">
      <c r="A77" s="3">
        <v>43336</v>
      </c>
      <c r="B77" s="2" t="s">
        <v>18</v>
      </c>
      <c r="C77" s="2" t="s">
        <v>156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18.741898871672099</v>
      </c>
      <c r="I77" s="21">
        <f t="shared" ref="I77:I79" si="25">F77*$V$16</f>
        <v>1.7805945334840727</v>
      </c>
      <c r="J77" s="21">
        <f t="shared" si="17"/>
        <v>115825.68470288844</v>
      </c>
      <c r="K77" s="21">
        <f t="shared" si="18"/>
        <v>11004.145440712909</v>
      </c>
      <c r="L77" s="5" t="s">
        <v>24</v>
      </c>
      <c r="M77" s="1">
        <v>-6180.04</v>
      </c>
      <c r="N77" s="4">
        <v>1.24</v>
      </c>
      <c r="O77" s="4"/>
      <c r="P77" s="3" t="s">
        <v>7408</v>
      </c>
      <c r="Q77" s="96">
        <v>2477.44</v>
      </c>
      <c r="R77" s="119"/>
      <c r="S77" s="60">
        <f t="shared" ref="S77:S86" si="26">R77/Q77-1</f>
        <v>-1</v>
      </c>
    </row>
    <row r="78" spans="1:22" x14ac:dyDescent="0.2">
      <c r="A78" s="3">
        <v>43343</v>
      </c>
      <c r="B78" s="66" t="s">
        <v>18</v>
      </c>
      <c r="C78" s="66" t="s">
        <v>127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18.680020394138904</v>
      </c>
      <c r="I78" s="21">
        <f t="shared" si="25"/>
        <v>1.7747157012702002</v>
      </c>
      <c r="J78" s="21">
        <f t="shared" si="17"/>
        <v>9588.4544683114982</v>
      </c>
      <c r="K78" s="21">
        <f t="shared" si="18"/>
        <v>910.96156946199369</v>
      </c>
      <c r="L78" s="5" t="s">
        <v>24</v>
      </c>
      <c r="M78" s="1">
        <v>-513.29999999999995</v>
      </c>
      <c r="N78" s="4">
        <v>0.1</v>
      </c>
      <c r="O78" s="4"/>
      <c r="P78" s="3" t="s">
        <v>212</v>
      </c>
      <c r="Q78" s="96">
        <v>3200.64</v>
      </c>
      <c r="R78" s="119"/>
      <c r="S78" s="102">
        <f t="shared" si="26"/>
        <v>-1</v>
      </c>
    </row>
    <row r="79" spans="1:22" x14ac:dyDescent="0.2">
      <c r="A79" s="3">
        <v>43346</v>
      </c>
      <c r="B79" s="67" t="s">
        <v>18</v>
      </c>
      <c r="C79" s="67" t="s">
        <v>156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18.457985857108024</v>
      </c>
      <c r="I79" s="21">
        <f t="shared" si="25"/>
        <v>1.7536210680321873</v>
      </c>
      <c r="J79" s="21">
        <f t="shared" si="17"/>
        <v>121704.9447071446</v>
      </c>
      <c r="K79" s="21">
        <f t="shared" si="18"/>
        <v>11562.71094659839</v>
      </c>
      <c r="L79" s="5" t="s">
        <v>24</v>
      </c>
      <c r="M79" s="1">
        <v>-6593.62</v>
      </c>
      <c r="N79" s="4">
        <v>1.32</v>
      </c>
      <c r="O79" s="4"/>
      <c r="P79" s="3" t="s">
        <v>213</v>
      </c>
      <c r="Q79" s="96">
        <v>4205.04</v>
      </c>
      <c r="R79" s="119"/>
      <c r="S79" s="102">
        <f t="shared" si="26"/>
        <v>-1</v>
      </c>
    </row>
    <row r="80" spans="1:22" x14ac:dyDescent="0.2">
      <c r="A80" s="3">
        <v>43346</v>
      </c>
      <c r="B80" s="67" t="s">
        <v>39</v>
      </c>
      <c r="C80" s="67" t="s">
        <v>157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11.388818758481397</v>
      </c>
      <c r="I80" s="21">
        <f>F80*$V$15</f>
        <v>1.387846751033547</v>
      </c>
      <c r="J80" s="21">
        <f t="shared" si="17"/>
        <v>72655.880375232751</v>
      </c>
      <c r="K80" s="21">
        <f t="shared" si="18"/>
        <v>8853.8793759585951</v>
      </c>
      <c r="L80" s="5" t="s">
        <v>24</v>
      </c>
      <c r="M80" s="1">
        <v>-6379.58</v>
      </c>
      <c r="N80" s="4">
        <v>1.28</v>
      </c>
      <c r="O80" s="4"/>
      <c r="P80" s="3" t="s">
        <v>214</v>
      </c>
      <c r="Q80" s="96">
        <v>4407.9399999999996</v>
      </c>
      <c r="R80" s="119"/>
      <c r="S80" s="102">
        <f t="shared" si="26"/>
        <v>-1</v>
      </c>
    </row>
    <row r="81" spans="1:30" x14ac:dyDescent="0.2">
      <c r="A81" s="3">
        <v>43354</v>
      </c>
      <c r="B81" s="70" t="s">
        <v>19</v>
      </c>
      <c r="C81" s="70" t="s">
        <v>153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23.534609581290074</v>
      </c>
      <c r="I81" s="21">
        <f>F81*$V$17</f>
        <v>1.9750094304036212</v>
      </c>
      <c r="J81" s="21">
        <f t="shared" si="17"/>
        <v>74360.658471331553</v>
      </c>
      <c r="K81" s="21">
        <f t="shared" si="18"/>
        <v>6240.299046586194</v>
      </c>
      <c r="L81" s="5" t="s">
        <v>24</v>
      </c>
      <c r="M81" s="1">
        <v>-3159.63</v>
      </c>
      <c r="N81" s="4">
        <v>0.63</v>
      </c>
      <c r="O81" s="4"/>
      <c r="P81" s="97" t="s">
        <v>219</v>
      </c>
      <c r="Q81" s="96">
        <v>5153.53</v>
      </c>
      <c r="R81" s="119"/>
      <c r="S81" s="109">
        <f t="shared" si="26"/>
        <v>-1</v>
      </c>
    </row>
    <row r="82" spans="1:30" x14ac:dyDescent="0.2">
      <c r="A82" s="3">
        <v>43357</v>
      </c>
      <c r="B82" s="72" t="s">
        <v>18</v>
      </c>
      <c r="C82" s="72" t="s">
        <v>127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18.108554454567624</v>
      </c>
      <c r="I82" s="21">
        <f>F82*$V$16</f>
        <v>1.7204229567067899</v>
      </c>
      <c r="J82" s="21">
        <f t="shared" si="17"/>
        <v>117140.43597016251</v>
      </c>
      <c r="K82" s="21">
        <f t="shared" si="18"/>
        <v>11129.054818115315</v>
      </c>
      <c r="L82" s="5" t="s">
        <v>24</v>
      </c>
      <c r="M82" s="1">
        <v>-6468.79</v>
      </c>
      <c r="N82" s="4">
        <v>1.29</v>
      </c>
      <c r="O82" s="4"/>
      <c r="P82" s="3" t="s">
        <v>7409</v>
      </c>
      <c r="Q82" s="96">
        <v>590.34</v>
      </c>
      <c r="R82" s="119"/>
      <c r="S82" s="102">
        <f t="shared" si="26"/>
        <v>-1</v>
      </c>
    </row>
    <row r="83" spans="1:30" x14ac:dyDescent="0.2">
      <c r="A83" s="3">
        <v>43371</v>
      </c>
      <c r="B83" s="75" t="s">
        <v>210</v>
      </c>
      <c r="C83" s="75" t="s">
        <v>157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11.466220423412205</v>
      </c>
      <c r="I83" s="21">
        <f>F83*$V$31</f>
        <v>1.3972789539227897</v>
      </c>
      <c r="J83" s="21">
        <f>H83*(-$M83)</f>
        <v>73383.810709838115</v>
      </c>
      <c r="K83" s="21">
        <f t="shared" ref="K83:K86" si="27">I83*(-$M83)</f>
        <v>8942.5853051058548</v>
      </c>
      <c r="L83" s="7" t="s">
        <v>10</v>
      </c>
      <c r="M83" s="1">
        <v>-6400</v>
      </c>
      <c r="N83" s="4">
        <v>7.67</v>
      </c>
      <c r="O83" s="4"/>
      <c r="P83" s="3" t="s">
        <v>218</v>
      </c>
      <c r="Q83" s="96">
        <v>1079.67</v>
      </c>
      <c r="R83" s="119"/>
      <c r="S83" s="102">
        <f t="shared" si="26"/>
        <v>-1</v>
      </c>
    </row>
    <row r="84" spans="1:30" x14ac:dyDescent="0.2">
      <c r="A84" s="3">
        <v>43371</v>
      </c>
      <c r="B84" s="75" t="s">
        <v>31</v>
      </c>
      <c r="C84" s="75" t="s">
        <v>145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8">H84*(-$M84)</f>
        <v>0</v>
      </c>
      <c r="K84" s="21">
        <f t="shared" si="27"/>
        <v>0</v>
      </c>
      <c r="L84" s="7" t="s">
        <v>10</v>
      </c>
      <c r="M84" s="1">
        <v>-6400</v>
      </c>
      <c r="N84" s="4">
        <v>6.39</v>
      </c>
      <c r="O84" s="4"/>
      <c r="P84" s="3" t="s">
        <v>215</v>
      </c>
      <c r="Q84" s="96">
        <v>7253.6</v>
      </c>
      <c r="R84" s="119"/>
      <c r="S84" s="102">
        <f t="shared" si="26"/>
        <v>-1</v>
      </c>
    </row>
    <row r="85" spans="1:30" x14ac:dyDescent="0.2">
      <c r="A85" s="3">
        <v>43371</v>
      </c>
      <c r="B85" s="3" t="s">
        <v>5</v>
      </c>
      <c r="C85" s="3" t="s">
        <v>150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23.01778026626851</v>
      </c>
      <c r="I85" s="21">
        <f>E85*$V$21</f>
        <v>2.936751275351499</v>
      </c>
      <c r="J85" s="21">
        <f t="shared" si="28"/>
        <v>147313.79370411846</v>
      </c>
      <c r="K85" s="21">
        <f t="shared" si="27"/>
        <v>18795.208162249593</v>
      </c>
      <c r="L85" s="7" t="s">
        <v>10</v>
      </c>
      <c r="M85" s="4">
        <v>-6400</v>
      </c>
      <c r="N85" s="4">
        <v>7.67</v>
      </c>
      <c r="O85" s="4"/>
      <c r="P85" s="3" t="s">
        <v>216</v>
      </c>
      <c r="Q85" s="96">
        <v>6037.29</v>
      </c>
      <c r="R85" s="119"/>
      <c r="S85" s="102">
        <f t="shared" si="26"/>
        <v>-1</v>
      </c>
      <c r="AA85" s="96"/>
      <c r="AB85" s="96"/>
      <c r="AC85" s="96"/>
      <c r="AD85" s="96"/>
    </row>
    <row r="86" spans="1:30" x14ac:dyDescent="0.2">
      <c r="A86" s="3">
        <v>43371</v>
      </c>
      <c r="B86" s="17" t="s">
        <v>32</v>
      </c>
      <c r="C86" s="17" t="s">
        <v>146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8.393089788732393</v>
      </c>
      <c r="I86" s="21">
        <f>F86*$V$37</f>
        <v>1.0235475352112675</v>
      </c>
      <c r="J86" s="21">
        <f t="shared" si="28"/>
        <v>53715.774647887316</v>
      </c>
      <c r="K86" s="21">
        <f t="shared" si="27"/>
        <v>6550.7042253521122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6">
        <v>1070.72</v>
      </c>
      <c r="R86" s="119"/>
      <c r="S86" s="102">
        <f t="shared" si="26"/>
        <v>-1</v>
      </c>
    </row>
    <row r="87" spans="1:30" x14ac:dyDescent="0.2">
      <c r="A87" s="3">
        <v>43371</v>
      </c>
      <c r="B87" s="75" t="s">
        <v>40</v>
      </c>
      <c r="C87" s="75" t="s">
        <v>40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31.495554238292822</v>
      </c>
      <c r="I87" s="21">
        <f>F87*$V$18</f>
        <v>3.9115081717334235</v>
      </c>
      <c r="J87" s="21">
        <f t="shared" ref="J87:J91" si="29">H87*(-$M87)</f>
        <v>201823.51155898042</v>
      </c>
      <c r="K87" s="21">
        <f t="shared" ref="K87:K91" si="30">I87*(-$M87)</f>
        <v>25064.944364467778</v>
      </c>
      <c r="L87" s="5" t="s">
        <v>24</v>
      </c>
      <c r="M87" s="1">
        <v>-6408</v>
      </c>
      <c r="N87" s="4">
        <v>1.28</v>
      </c>
      <c r="O87" s="4"/>
      <c r="P87" s="97" t="s">
        <v>7415</v>
      </c>
      <c r="Q87" s="96">
        <v>1234.22</v>
      </c>
      <c r="R87" s="119"/>
      <c r="S87" s="102"/>
    </row>
    <row r="88" spans="1:30" x14ac:dyDescent="0.2">
      <c r="A88" s="3">
        <v>43384</v>
      </c>
      <c r="B88" s="85" t="s">
        <v>18</v>
      </c>
      <c r="C88" s="85" t="s">
        <v>127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16.849145441244929</v>
      </c>
      <c r="I88" s="21">
        <f t="shared" ref="I88" si="31">F88*$V$16</f>
        <v>1.6007714304715037</v>
      </c>
      <c r="J88" s="21">
        <f t="shared" si="29"/>
        <v>109214.4758356055</v>
      </c>
      <c r="K88" s="21">
        <f t="shared" si="30"/>
        <v>10376.04033517324</v>
      </c>
      <c r="L88" s="5" t="s">
        <v>24</v>
      </c>
      <c r="M88" s="1">
        <v>-6481.9</v>
      </c>
      <c r="N88" s="4">
        <v>1.3</v>
      </c>
      <c r="O88" s="4"/>
      <c r="P88" s="3" t="s">
        <v>7429</v>
      </c>
      <c r="Q88" s="96">
        <v>9442.2999999999993</v>
      </c>
      <c r="R88" s="119"/>
      <c r="S88" s="109">
        <f>R88/Q88-1</f>
        <v>-1</v>
      </c>
    </row>
    <row r="89" spans="1:30" x14ac:dyDescent="0.2">
      <c r="A89" s="3">
        <v>43384</v>
      </c>
      <c r="B89" s="3" t="s">
        <v>2</v>
      </c>
      <c r="C89" s="3" t="s">
        <v>125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26.715417457305506</v>
      </c>
      <c r="I89" s="21">
        <f>F89*$V$20</f>
        <v>3.1059297912713468</v>
      </c>
      <c r="J89" s="21">
        <f t="shared" si="29"/>
        <v>170978.67172675524</v>
      </c>
      <c r="K89" s="21">
        <f t="shared" si="30"/>
        <v>19877.950664136621</v>
      </c>
      <c r="L89" s="7" t="s">
        <v>10</v>
      </c>
      <c r="M89" s="4">
        <v>-6400</v>
      </c>
      <c r="N89" s="4">
        <v>7.67</v>
      </c>
      <c r="O89" s="4"/>
      <c r="P89" s="3" t="s">
        <v>7410</v>
      </c>
      <c r="Q89" s="96">
        <v>28000.92</v>
      </c>
      <c r="R89" s="119"/>
      <c r="S89" s="97"/>
    </row>
    <row r="90" spans="1:30" x14ac:dyDescent="0.2">
      <c r="A90" s="3">
        <v>43388</v>
      </c>
      <c r="B90" s="87" t="s">
        <v>22</v>
      </c>
      <c r="C90" s="87" t="s">
        <v>149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21.199319460803558</v>
      </c>
      <c r="I90" s="21">
        <f>F90*$V$22</f>
        <v>1.0637351132050779</v>
      </c>
      <c r="J90" s="21">
        <f t="shared" si="29"/>
        <v>135336.0314513807</v>
      </c>
      <c r="K90" s="21">
        <f t="shared" si="30"/>
        <v>6790.8636879989526</v>
      </c>
      <c r="L90" s="5" t="s">
        <v>24</v>
      </c>
      <c r="M90" s="1">
        <v>-6383.98</v>
      </c>
      <c r="N90" s="4">
        <v>1.28</v>
      </c>
      <c r="O90" s="4"/>
      <c r="P90" s="3" t="s">
        <v>182</v>
      </c>
      <c r="Q90" s="96">
        <v>11181.66</v>
      </c>
      <c r="R90" s="119"/>
      <c r="S90" s="97"/>
    </row>
    <row r="91" spans="1:30" x14ac:dyDescent="0.2">
      <c r="A91" s="3">
        <v>43388</v>
      </c>
      <c r="B91" s="3" t="s">
        <v>15</v>
      </c>
      <c r="C91" s="3" t="s">
        <v>140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18.29139782783588</v>
      </c>
      <c r="I91" s="21">
        <f>F91*$V$24</f>
        <v>1.5442658889782785</v>
      </c>
      <c r="J91" s="21">
        <f t="shared" si="29"/>
        <v>117064.94609814964</v>
      </c>
      <c r="K91" s="21">
        <f t="shared" si="30"/>
        <v>9883.3016894609827</v>
      </c>
      <c r="L91" s="7" t="s">
        <v>10</v>
      </c>
      <c r="M91" s="4">
        <v>-6400</v>
      </c>
      <c r="N91" s="4">
        <v>7.67</v>
      </c>
      <c r="Q91" s="97"/>
      <c r="R91" s="101"/>
      <c r="S91" s="97"/>
    </row>
    <row r="92" spans="1:30" x14ac:dyDescent="0.2">
      <c r="A92" s="3">
        <v>43388</v>
      </c>
      <c r="B92" s="3" t="s">
        <v>2</v>
      </c>
      <c r="C92" s="3" t="s">
        <v>125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26.566361480075908</v>
      </c>
      <c r="I92" s="21">
        <f>F92*$V$20</f>
        <v>3.0886005692599623</v>
      </c>
      <c r="J92" s="21">
        <f t="shared" ref="J92:J93" si="32">H92*(-$M92)</f>
        <v>170024.7134724858</v>
      </c>
      <c r="K92" s="21">
        <f t="shared" ref="K92:K94" si="33">I92*(-$M92)</f>
        <v>19767.043643263758</v>
      </c>
      <c r="L92" s="7" t="s">
        <v>10</v>
      </c>
      <c r="M92" s="4">
        <v>-6400</v>
      </c>
      <c r="N92" s="4">
        <v>7.67</v>
      </c>
      <c r="O92" s="4"/>
      <c r="P92" s="15"/>
      <c r="Q92" s="96"/>
      <c r="R92" s="96"/>
    </row>
    <row r="93" spans="1:30" x14ac:dyDescent="0.2">
      <c r="A93" s="103">
        <v>43403</v>
      </c>
      <c r="B93" s="103" t="s">
        <v>4</v>
      </c>
      <c r="C93" s="103" t="s">
        <v>129</v>
      </c>
      <c r="D93" s="103" t="s">
        <v>11</v>
      </c>
      <c r="E93" s="104">
        <v>0.95799999999999996</v>
      </c>
      <c r="F93" s="104">
        <v>2.536</v>
      </c>
      <c r="G93" s="105">
        <v>6670.57</v>
      </c>
      <c r="H93" s="21">
        <f>F93*$T$13</f>
        <v>9.5431358885017428</v>
      </c>
      <c r="I93" s="21">
        <f>F93*$V$13</f>
        <v>1.2763453348819203</v>
      </c>
      <c r="J93" s="21">
        <f t="shared" si="32"/>
        <v>61076.069686411152</v>
      </c>
      <c r="K93" s="21">
        <f t="shared" si="33"/>
        <v>8168.6101432442892</v>
      </c>
      <c r="L93" s="7" t="s">
        <v>10</v>
      </c>
      <c r="M93" s="4">
        <v>-6400</v>
      </c>
      <c r="N93" s="4">
        <v>9.59</v>
      </c>
      <c r="O93" s="4"/>
      <c r="P93" s="15"/>
      <c r="Q93" s="96"/>
      <c r="R93" s="96"/>
      <c r="V93" s="15"/>
    </row>
    <row r="94" spans="1:30" x14ac:dyDescent="0.2">
      <c r="A94" s="3">
        <v>43403</v>
      </c>
      <c r="B94" s="106" t="s">
        <v>210</v>
      </c>
      <c r="C94" s="106" t="s">
        <v>157</v>
      </c>
      <c r="D94" s="103" t="s">
        <v>11</v>
      </c>
      <c r="E94" s="104">
        <v>1.5649999999999999</v>
      </c>
      <c r="F94" s="104">
        <v>1.5649999999999999</v>
      </c>
      <c r="G94" s="105">
        <v>4084.56</v>
      </c>
      <c r="H94" s="21">
        <f>F94*$T$31</f>
        <v>10.475560398505603</v>
      </c>
      <c r="I94" s="21">
        <f>F94*$V$31</f>
        <v>1.2765566625155667</v>
      </c>
      <c r="J94" s="21">
        <f>H94*(-$M94)</f>
        <v>67043.586550435866</v>
      </c>
      <c r="K94" s="21">
        <f t="shared" si="33"/>
        <v>8169.9626400996267</v>
      </c>
      <c r="L94" s="7" t="s">
        <v>10</v>
      </c>
      <c r="M94" s="1">
        <v>-6400</v>
      </c>
      <c r="N94" s="4">
        <v>7.67</v>
      </c>
      <c r="O94" s="4"/>
      <c r="P94" s="3"/>
      <c r="Q94" s="96"/>
      <c r="R94" s="96"/>
      <c r="T94" s="96"/>
      <c r="U94" s="96"/>
      <c r="V94" s="96"/>
      <c r="W94" s="96"/>
      <c r="X94" s="96"/>
      <c r="Y94" s="96"/>
    </row>
    <row r="95" spans="1:30" x14ac:dyDescent="0.2">
      <c r="A95" s="3">
        <v>43403</v>
      </c>
      <c r="B95" s="100" t="s">
        <v>7418</v>
      </c>
      <c r="C95" s="100" t="s">
        <v>7419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16.134006006006008</v>
      </c>
      <c r="I95" s="21">
        <f>F95*$V$29</f>
        <v>1.5328288288288288</v>
      </c>
      <c r="J95" s="21">
        <f>H95*(-$M95)</f>
        <v>103257.63843843844</v>
      </c>
      <c r="K95" s="21">
        <f t="shared" ref="K95:K101" si="34">I95*(-$M95)</f>
        <v>9810.1045045045048</v>
      </c>
      <c r="L95" s="7" t="s">
        <v>10</v>
      </c>
      <c r="M95" s="1">
        <v>-6400</v>
      </c>
      <c r="N95" s="4">
        <v>9.59</v>
      </c>
      <c r="O95" s="4"/>
      <c r="P95" s="3"/>
      <c r="Q95" s="96"/>
      <c r="R95" s="96"/>
      <c r="T95" s="25"/>
      <c r="V95" s="15"/>
    </row>
    <row r="96" spans="1:30" x14ac:dyDescent="0.2">
      <c r="A96" s="3">
        <v>43403</v>
      </c>
      <c r="B96" s="100" t="s">
        <v>7420</v>
      </c>
      <c r="C96" s="100" t="s">
        <v>7421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22.043119548486402</v>
      </c>
      <c r="I96" s="21">
        <f>F96*$V$34</f>
        <v>4.0517855310415607</v>
      </c>
      <c r="J96" s="21">
        <f>H96*(-$M96)</f>
        <v>141075.96511031297</v>
      </c>
      <c r="K96" s="21">
        <f t="shared" si="34"/>
        <v>25931.42739866599</v>
      </c>
      <c r="L96" s="7" t="s">
        <v>10</v>
      </c>
      <c r="M96" s="1">
        <v>-6400</v>
      </c>
      <c r="N96" s="4">
        <v>9.59</v>
      </c>
      <c r="O96" s="4"/>
      <c r="P96" s="3"/>
      <c r="Q96" s="96"/>
      <c r="R96" s="96"/>
      <c r="T96" s="25"/>
      <c r="V96" s="15"/>
    </row>
    <row r="97" spans="1:22" x14ac:dyDescent="0.2">
      <c r="A97" s="3">
        <v>43403</v>
      </c>
      <c r="B97" s="100" t="s">
        <v>7422</v>
      </c>
      <c r="C97" s="100" t="s">
        <v>40</v>
      </c>
      <c r="D97" s="3" t="s">
        <v>7423</v>
      </c>
      <c r="E97" s="21">
        <v>1.3342000000000001</v>
      </c>
      <c r="F97" s="21">
        <v>1.3342000000000001</v>
      </c>
      <c r="G97" s="21">
        <v>4791.13</v>
      </c>
      <c r="H97" s="21">
        <f>F97*T35</f>
        <v>28.546818216726823</v>
      </c>
      <c r="I97" s="21">
        <f>F97*V35</f>
        <v>3.5452975961907685</v>
      </c>
      <c r="J97" s="21">
        <f t="shared" ref="J97" si="35">H97*(-M97)</f>
        <v>182699.63658705167</v>
      </c>
      <c r="K97" s="21">
        <f t="shared" si="34"/>
        <v>22689.904615620919</v>
      </c>
      <c r="L97" s="7" t="s">
        <v>10</v>
      </c>
      <c r="M97" s="1">
        <v>-6400</v>
      </c>
      <c r="N97" s="4">
        <v>7.67</v>
      </c>
      <c r="O97" s="4"/>
      <c r="P97" s="3"/>
      <c r="Q97" s="96"/>
      <c r="R97" s="96"/>
      <c r="T97" s="25"/>
      <c r="V97" s="15"/>
    </row>
    <row r="98" spans="1:22" x14ac:dyDescent="0.2">
      <c r="A98" s="3">
        <v>43403</v>
      </c>
      <c r="B98" s="100" t="s">
        <v>31</v>
      </c>
      <c r="C98" s="100" t="s">
        <v>145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6">H98*(-$M98)</f>
        <v>0</v>
      </c>
      <c r="K98" s="21">
        <f t="shared" si="34"/>
        <v>0</v>
      </c>
      <c r="L98" s="7" t="s">
        <v>10</v>
      </c>
      <c r="M98" s="1">
        <v>-6400</v>
      </c>
      <c r="N98" s="4">
        <v>6.39</v>
      </c>
      <c r="O98" s="4"/>
      <c r="P98" s="3"/>
      <c r="Q98" s="96"/>
      <c r="R98" s="96"/>
      <c r="T98" s="25"/>
      <c r="V98" s="15"/>
    </row>
    <row r="99" spans="1:22" x14ac:dyDescent="0.2">
      <c r="A99" s="3">
        <v>43403</v>
      </c>
      <c r="B99" s="3" t="s">
        <v>5</v>
      </c>
      <c r="C99" s="3" t="s">
        <v>150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20.3</v>
      </c>
      <c r="I99" s="21">
        <f>E99*$V$21</f>
        <v>2.59</v>
      </c>
      <c r="J99" s="21">
        <f t="shared" si="36"/>
        <v>129920</v>
      </c>
      <c r="K99" s="21">
        <f t="shared" si="34"/>
        <v>16576</v>
      </c>
      <c r="L99" s="7" t="s">
        <v>10</v>
      </c>
      <c r="M99" s="4">
        <v>-6400</v>
      </c>
      <c r="N99" s="4">
        <v>7.67</v>
      </c>
      <c r="O99" s="4"/>
      <c r="P99" s="3"/>
      <c r="Q99" s="96"/>
      <c r="R99" s="96"/>
      <c r="T99" s="25"/>
      <c r="V99" s="15"/>
    </row>
    <row r="100" spans="1:22" x14ac:dyDescent="0.2">
      <c r="A100" s="3">
        <v>43403</v>
      </c>
      <c r="B100" s="3" t="s">
        <v>7</v>
      </c>
      <c r="C100" s="3" t="s">
        <v>158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6"/>
        <v>0</v>
      </c>
      <c r="K100" s="21">
        <f t="shared" si="34"/>
        <v>0</v>
      </c>
      <c r="L100" s="7" t="s">
        <v>10</v>
      </c>
      <c r="M100" s="13">
        <v>6852.82</v>
      </c>
      <c r="N100" s="4">
        <v>0</v>
      </c>
      <c r="O100" s="4"/>
      <c r="P100" s="3"/>
      <c r="Q100" s="96"/>
      <c r="R100" s="96"/>
      <c r="T100" s="25"/>
      <c r="V100" s="15"/>
    </row>
    <row r="101" spans="1:22" x14ac:dyDescent="0.2">
      <c r="A101" s="103">
        <v>43419</v>
      </c>
      <c r="B101" s="103" t="s">
        <v>4</v>
      </c>
      <c r="C101" s="103" t="s">
        <v>129</v>
      </c>
      <c r="D101" s="103" t="s">
        <v>11</v>
      </c>
      <c r="E101" s="104">
        <v>0.99199999999999999</v>
      </c>
      <c r="F101" s="104">
        <v>2.5739999999999998</v>
      </c>
      <c r="G101" s="105">
        <v>6441.95</v>
      </c>
      <c r="H101" s="21">
        <f>F101*$T$13</f>
        <v>9.6861324041811852</v>
      </c>
      <c r="I101" s="21">
        <f>F101*$V$13</f>
        <v>1.2954703832752612</v>
      </c>
      <c r="J101" s="21">
        <f t="shared" si="36"/>
        <v>61991.247386759584</v>
      </c>
      <c r="K101" s="21">
        <f t="shared" si="34"/>
        <v>8291.010452961671</v>
      </c>
      <c r="L101" s="7" t="s">
        <v>10</v>
      </c>
      <c r="M101" s="4">
        <v>-6400</v>
      </c>
      <c r="N101" s="4">
        <v>9.59</v>
      </c>
      <c r="P101" s="3"/>
      <c r="Q101" s="96"/>
      <c r="R101" s="96"/>
      <c r="T101" s="25"/>
      <c r="V101" s="15"/>
    </row>
    <row r="102" spans="1:22" x14ac:dyDescent="0.2">
      <c r="A102" s="103">
        <v>43419</v>
      </c>
      <c r="B102" s="70" t="s">
        <v>7430</v>
      </c>
      <c r="C102" s="70" t="s">
        <v>7432</v>
      </c>
      <c r="D102" s="103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/>
      <c r="Q102" s="96"/>
      <c r="R102" s="96"/>
      <c r="T102" s="25"/>
      <c r="V102" s="15"/>
    </row>
    <row r="103" spans="1:22" x14ac:dyDescent="0.2">
      <c r="A103" s="103">
        <v>43420</v>
      </c>
      <c r="B103" s="111" t="s">
        <v>7418</v>
      </c>
      <c r="C103" s="111" t="s">
        <v>7419</v>
      </c>
      <c r="D103" s="14" t="s">
        <v>50</v>
      </c>
      <c r="E103" s="22">
        <v>1.591</v>
      </c>
      <c r="F103" s="22">
        <v>1.7709999999999999</v>
      </c>
      <c r="G103" s="22">
        <v>441.92</v>
      </c>
      <c r="H103" s="21">
        <f>F103*$T$29</f>
        <v>17.465357357357359</v>
      </c>
      <c r="I103" s="21">
        <f>F103*$V$29</f>
        <v>1.6593153153153153</v>
      </c>
      <c r="J103" s="21">
        <f>H103*(-$M103)</f>
        <v>0</v>
      </c>
      <c r="K103" s="21">
        <f t="shared" ref="K103:K106" si="37">I103*(-$M103)</f>
        <v>0</v>
      </c>
      <c r="L103" s="7" t="s">
        <v>10</v>
      </c>
      <c r="M103" s="114">
        <v>0</v>
      </c>
      <c r="N103" s="4">
        <v>0</v>
      </c>
      <c r="O103" s="4"/>
      <c r="P103" s="3"/>
      <c r="Q103" s="96"/>
      <c r="R103" s="96"/>
      <c r="T103" s="25"/>
      <c r="V103" s="15"/>
    </row>
    <row r="104" spans="1:22" x14ac:dyDescent="0.2">
      <c r="A104" s="103">
        <v>43420</v>
      </c>
      <c r="B104" s="106" t="s">
        <v>210</v>
      </c>
      <c r="C104" s="106" t="s">
        <v>157</v>
      </c>
      <c r="D104" s="14" t="s">
        <v>50</v>
      </c>
      <c r="E104" s="22">
        <v>1.4610000000000001</v>
      </c>
      <c r="F104" s="22">
        <v>1.621</v>
      </c>
      <c r="G104" s="22">
        <v>855.99</v>
      </c>
      <c r="H104" s="21">
        <f>F104*$T$31</f>
        <v>10.850404732254047</v>
      </c>
      <c r="I104" s="21">
        <f>F104*$V$31</f>
        <v>1.3222353673723537</v>
      </c>
      <c r="J104" s="21">
        <f>H104*(-$M104)</f>
        <v>0</v>
      </c>
      <c r="K104" s="21">
        <f t="shared" si="37"/>
        <v>0</v>
      </c>
      <c r="L104" s="7" t="s">
        <v>10</v>
      </c>
      <c r="M104" s="114">
        <v>0</v>
      </c>
      <c r="N104" s="4">
        <v>0</v>
      </c>
      <c r="O104" s="4"/>
      <c r="P104" s="3"/>
      <c r="Q104" s="96"/>
      <c r="R104" s="96"/>
      <c r="T104" s="25"/>
      <c r="V104" s="15"/>
    </row>
    <row r="105" spans="1:22" x14ac:dyDescent="0.2">
      <c r="A105" s="3">
        <v>43434</v>
      </c>
      <c r="B105" s="3" t="s">
        <v>6</v>
      </c>
      <c r="C105" s="3" t="s">
        <v>130</v>
      </c>
      <c r="D105" s="14" t="s">
        <v>12</v>
      </c>
      <c r="E105" s="22">
        <v>1.0285</v>
      </c>
      <c r="F105" s="22">
        <v>1.0285</v>
      </c>
      <c r="G105" s="23">
        <v>4205.5</v>
      </c>
      <c r="H105" s="21"/>
      <c r="I105" s="21"/>
      <c r="J105" s="21">
        <f t="shared" ref="J105" si="38">H105*(-$M105)</f>
        <v>0</v>
      </c>
      <c r="K105" s="21">
        <f t="shared" si="37"/>
        <v>0</v>
      </c>
      <c r="L105" s="7" t="s">
        <v>10</v>
      </c>
      <c r="M105" s="13">
        <v>4323.3</v>
      </c>
      <c r="N105" s="4">
        <v>2.16</v>
      </c>
      <c r="O105" s="4"/>
      <c r="P105" s="3"/>
      <c r="Q105" s="96"/>
      <c r="R105" s="96"/>
      <c r="T105" s="25"/>
      <c r="V105" s="15"/>
    </row>
    <row r="106" spans="1:22" x14ac:dyDescent="0.2">
      <c r="A106" s="3">
        <v>43434</v>
      </c>
      <c r="B106" s="113" t="s">
        <v>7418</v>
      </c>
      <c r="C106" s="113" t="s">
        <v>7419</v>
      </c>
      <c r="D106" s="3" t="s">
        <v>11</v>
      </c>
      <c r="E106" s="21">
        <v>1.518</v>
      </c>
      <c r="F106" s="21">
        <v>1.518</v>
      </c>
      <c r="G106" s="21">
        <v>4209.76</v>
      </c>
      <c r="H106" s="21">
        <f>F106*$T$29</f>
        <v>14.970306306306307</v>
      </c>
      <c r="I106" s="21">
        <f>F106*$V$29</f>
        <v>1.4222702702702703</v>
      </c>
      <c r="J106" s="21">
        <f>H106*(-$M106)</f>
        <v>95809.960360360361</v>
      </c>
      <c r="K106" s="21">
        <f t="shared" si="37"/>
        <v>9102.5297297297293</v>
      </c>
      <c r="L106" s="7" t="s">
        <v>10</v>
      </c>
      <c r="M106" s="1">
        <v>-6400</v>
      </c>
      <c r="N106" s="4">
        <v>9.59</v>
      </c>
      <c r="O106" s="4"/>
      <c r="P106" s="3"/>
      <c r="Q106" s="96"/>
      <c r="R106" s="96"/>
      <c r="T106" s="15"/>
      <c r="V106" s="15"/>
    </row>
    <row r="107" spans="1:22" x14ac:dyDescent="0.2">
      <c r="A107" s="3">
        <v>43434</v>
      </c>
      <c r="B107" s="106" t="s">
        <v>7434</v>
      </c>
      <c r="C107" s="106" t="s">
        <v>7435</v>
      </c>
      <c r="D107" s="3" t="s">
        <v>11</v>
      </c>
      <c r="E107" s="21">
        <v>1.4501999999999999</v>
      </c>
      <c r="F107" s="21">
        <v>1.4501999999999999</v>
      </c>
      <c r="G107" s="21">
        <v>4407.8999999999996</v>
      </c>
      <c r="H107" s="21">
        <f>F107*$T$39</f>
        <v>10.222591275810203</v>
      </c>
      <c r="I107" s="21">
        <f>F107*$V$39</f>
        <v>1.1600806782442226</v>
      </c>
      <c r="J107" s="21">
        <f>H107*(-$M107)</f>
        <v>65424.584165185297</v>
      </c>
      <c r="K107" s="21">
        <f t="shared" ref="K107" si="39">I107*(-$M107)</f>
        <v>7424.5163407630243</v>
      </c>
      <c r="L107" s="7" t="s">
        <v>10</v>
      </c>
      <c r="M107" s="1">
        <v>-6400</v>
      </c>
      <c r="N107" s="4">
        <v>7.67</v>
      </c>
      <c r="O107" s="4"/>
      <c r="P107" s="3"/>
      <c r="Q107" s="96"/>
      <c r="R107" s="96"/>
      <c r="T107" s="15"/>
      <c r="U107" s="15"/>
      <c r="V107" s="15"/>
    </row>
    <row r="108" spans="1:22" x14ac:dyDescent="0.2">
      <c r="A108" s="3">
        <v>43434</v>
      </c>
      <c r="B108" s="106" t="s">
        <v>7436</v>
      </c>
      <c r="C108" s="106" t="s">
        <v>7437</v>
      </c>
      <c r="D108" s="3" t="s">
        <v>11</v>
      </c>
      <c r="E108" s="21">
        <v>0.56699999999999995</v>
      </c>
      <c r="F108" s="21">
        <v>0.56699999999999995</v>
      </c>
      <c r="G108" s="21">
        <v>11270.56</v>
      </c>
      <c r="H108" s="21"/>
      <c r="I108" s="21"/>
      <c r="J108" s="21">
        <f>H108*(-$M108)</f>
        <v>0</v>
      </c>
      <c r="K108" s="21">
        <f t="shared" ref="K108:K110" si="40">I108*(-$M108)</f>
        <v>0</v>
      </c>
      <c r="L108" s="7" t="s">
        <v>10</v>
      </c>
      <c r="M108" s="1">
        <v>-6400</v>
      </c>
      <c r="N108" s="4">
        <v>9.59</v>
      </c>
      <c r="O108" s="4"/>
      <c r="P108" s="3"/>
      <c r="Q108" s="96"/>
      <c r="R108" s="96"/>
      <c r="T108" s="15"/>
      <c r="U108" s="15"/>
      <c r="V108" s="15"/>
    </row>
    <row r="109" spans="1:22" x14ac:dyDescent="0.2">
      <c r="A109" s="3">
        <v>43434</v>
      </c>
      <c r="B109" s="113" t="s">
        <v>31</v>
      </c>
      <c r="C109" s="113" t="s">
        <v>145</v>
      </c>
      <c r="D109" s="3" t="s">
        <v>11</v>
      </c>
      <c r="E109" s="21">
        <v>1.0041</v>
      </c>
      <c r="F109" s="21">
        <v>3.6291000000000002</v>
      </c>
      <c r="G109" s="21">
        <v>6367.5</v>
      </c>
      <c r="H109" s="21"/>
      <c r="I109" s="21"/>
      <c r="J109" s="21">
        <f t="shared" ref="J109:J110" si="41">H109*(-$M109)</f>
        <v>0</v>
      </c>
      <c r="K109" s="21">
        <f t="shared" si="40"/>
        <v>0</v>
      </c>
      <c r="L109" s="7" t="s">
        <v>10</v>
      </c>
      <c r="M109" s="1">
        <v>-6400</v>
      </c>
      <c r="N109" s="4">
        <v>6.39</v>
      </c>
      <c r="O109" s="4"/>
      <c r="P109" s="3"/>
      <c r="Q109" s="96"/>
      <c r="R109" s="96"/>
      <c r="T109" s="15"/>
      <c r="U109" s="15"/>
      <c r="V109" s="15"/>
    </row>
    <row r="110" spans="1:22" x14ac:dyDescent="0.2">
      <c r="A110" s="3">
        <v>43434</v>
      </c>
      <c r="B110" s="3" t="s">
        <v>3</v>
      </c>
      <c r="C110" s="3" t="s">
        <v>119</v>
      </c>
      <c r="D110" s="3" t="s">
        <v>11</v>
      </c>
      <c r="E110" s="21">
        <v>1.079</v>
      </c>
      <c r="F110" s="21">
        <v>1.079</v>
      </c>
      <c r="G110" s="20">
        <v>5924.31</v>
      </c>
      <c r="H110" s="21">
        <f>$F110*$T$38</f>
        <v>12.670075757575757</v>
      </c>
      <c r="I110" s="21">
        <f>$F110*$V$38</f>
        <v>1.5326704545454544</v>
      </c>
      <c r="J110" s="21">
        <f t="shared" si="41"/>
        <v>81088.484848484848</v>
      </c>
      <c r="K110" s="21">
        <f t="shared" si="40"/>
        <v>9809.0909090909081</v>
      </c>
      <c r="L110" s="7" t="s">
        <v>10</v>
      </c>
      <c r="M110" s="4">
        <v>-6400</v>
      </c>
      <c r="N110" s="4">
        <v>7.67</v>
      </c>
      <c r="O110" s="4"/>
      <c r="P110" s="3"/>
      <c r="Q110" s="96"/>
      <c r="R110" s="96"/>
      <c r="T110" s="15"/>
      <c r="U110" s="15"/>
      <c r="V110" s="15"/>
    </row>
    <row r="111" spans="1:22" x14ac:dyDescent="0.2">
      <c r="A111" s="3">
        <v>43461</v>
      </c>
      <c r="B111" s="106" t="s">
        <v>7436</v>
      </c>
      <c r="C111" s="106" t="s">
        <v>7437</v>
      </c>
      <c r="D111" s="3" t="s">
        <v>11</v>
      </c>
      <c r="E111" s="104">
        <v>0.46700000000000003</v>
      </c>
      <c r="F111" s="104">
        <v>0.46700000000000003</v>
      </c>
      <c r="G111" s="105">
        <v>13683.96</v>
      </c>
      <c r="H111" s="21"/>
      <c r="I111" s="21"/>
      <c r="J111" s="21">
        <f>H111*(-$M111)</f>
        <v>0</v>
      </c>
      <c r="K111" s="21">
        <f t="shared" ref="K111:K116" si="42">I111*(-$M111)</f>
        <v>0</v>
      </c>
      <c r="L111" s="7" t="s">
        <v>10</v>
      </c>
      <c r="M111" s="1">
        <v>-6400</v>
      </c>
      <c r="N111" s="4">
        <v>9.59</v>
      </c>
      <c r="O111" s="4"/>
      <c r="P111" s="3"/>
      <c r="Q111" s="96"/>
      <c r="R111" s="96"/>
      <c r="T111" s="15"/>
      <c r="U111" s="15"/>
      <c r="V111" s="15"/>
    </row>
    <row r="112" spans="1:22" x14ac:dyDescent="0.2">
      <c r="A112" s="3">
        <v>43461</v>
      </c>
      <c r="B112" s="103" t="s">
        <v>4</v>
      </c>
      <c r="C112" s="103" t="s">
        <v>129</v>
      </c>
      <c r="D112" s="103" t="s">
        <v>11</v>
      </c>
      <c r="E112" s="104">
        <v>0.95799999999999996</v>
      </c>
      <c r="F112" s="104">
        <v>2.536</v>
      </c>
      <c r="G112" s="105">
        <v>6670.57</v>
      </c>
      <c r="H112" s="21">
        <f>F112*$T$13</f>
        <v>9.5431358885017428</v>
      </c>
      <c r="I112" s="21">
        <f>F112*$V$13</f>
        <v>1.2763453348819203</v>
      </c>
      <c r="J112" s="21">
        <f t="shared" ref="J112:J115" si="43">H112*(-$M112)</f>
        <v>61076.069686411152</v>
      </c>
      <c r="K112" s="21">
        <f t="shared" si="42"/>
        <v>8168.6101432442892</v>
      </c>
      <c r="L112" s="7" t="s">
        <v>10</v>
      </c>
      <c r="M112" s="4">
        <v>-6400</v>
      </c>
      <c r="N112" s="4">
        <v>9.59</v>
      </c>
      <c r="O112" s="4"/>
      <c r="P112" s="3"/>
      <c r="Q112" s="96"/>
      <c r="R112" s="96"/>
      <c r="T112" s="15"/>
      <c r="U112" s="15"/>
      <c r="V112" s="15"/>
    </row>
    <row r="113" spans="1:22" x14ac:dyDescent="0.2">
      <c r="A113" s="3">
        <v>43461</v>
      </c>
      <c r="B113" s="3" t="s">
        <v>5</v>
      </c>
      <c r="C113" s="3" t="s">
        <v>150</v>
      </c>
      <c r="D113" s="3" t="s">
        <v>11</v>
      </c>
      <c r="E113" s="21">
        <v>0.81259999999999999</v>
      </c>
      <c r="F113" s="21">
        <v>0.81259999999999999</v>
      </c>
      <c r="G113" s="20">
        <v>7866.51</v>
      </c>
      <c r="H113" s="21">
        <f>F113*$T$21</f>
        <v>20.52479781012816</v>
      </c>
      <c r="I113" s="21">
        <f>E113*$V$21</f>
        <v>2.6186810999129029</v>
      </c>
      <c r="J113" s="21">
        <f t="shared" si="43"/>
        <v>131358.70598482023</v>
      </c>
      <c r="K113" s="21">
        <f t="shared" si="42"/>
        <v>16759.559039442578</v>
      </c>
      <c r="L113" s="7" t="s">
        <v>10</v>
      </c>
      <c r="M113" s="4">
        <v>-6400</v>
      </c>
      <c r="N113" s="4">
        <v>7.67</v>
      </c>
      <c r="O113" s="4"/>
      <c r="P113" s="3"/>
      <c r="Q113" s="96"/>
      <c r="R113" s="96"/>
      <c r="T113" s="15"/>
      <c r="U113" s="15"/>
      <c r="V113" s="15"/>
    </row>
    <row r="114" spans="1:22" x14ac:dyDescent="0.2">
      <c r="A114" s="3">
        <v>43480</v>
      </c>
      <c r="B114" s="113" t="s">
        <v>7446</v>
      </c>
      <c r="C114" s="116" t="s">
        <v>145</v>
      </c>
      <c r="D114" s="3" t="s">
        <v>11</v>
      </c>
      <c r="E114" s="21">
        <v>1.2000999999999999</v>
      </c>
      <c r="F114" s="21">
        <v>2.1600999999999999</v>
      </c>
      <c r="G114" s="21">
        <v>5328.62</v>
      </c>
      <c r="H114" s="21"/>
      <c r="I114" s="21"/>
      <c r="J114" s="21">
        <f t="shared" si="43"/>
        <v>0</v>
      </c>
      <c r="K114" s="21">
        <f t="shared" si="42"/>
        <v>0</v>
      </c>
      <c r="L114" s="7" t="s">
        <v>10</v>
      </c>
      <c r="M114" s="1">
        <v>-6400</v>
      </c>
      <c r="N114" s="4">
        <v>5.12</v>
      </c>
      <c r="P114" s="3"/>
      <c r="Q114" s="96"/>
      <c r="R114" s="96"/>
      <c r="T114" s="15"/>
      <c r="U114" s="15"/>
      <c r="V114" s="15"/>
    </row>
    <row r="115" spans="1:22" x14ac:dyDescent="0.2">
      <c r="A115" s="3">
        <v>43480</v>
      </c>
      <c r="B115" s="3" t="s">
        <v>7</v>
      </c>
      <c r="C115" s="3" t="s">
        <v>158</v>
      </c>
      <c r="D115" s="14" t="s">
        <v>12</v>
      </c>
      <c r="E115" s="22">
        <v>1.244</v>
      </c>
      <c r="F115" s="22">
        <v>1.244</v>
      </c>
      <c r="G115" s="23">
        <v>5451.73</v>
      </c>
      <c r="H115" s="21"/>
      <c r="I115" s="21"/>
      <c r="J115" s="21">
        <f t="shared" si="43"/>
        <v>0</v>
      </c>
      <c r="K115" s="21">
        <f t="shared" si="42"/>
        <v>0</v>
      </c>
      <c r="L115" s="7" t="s">
        <v>10</v>
      </c>
      <c r="M115" s="13">
        <v>6781.95</v>
      </c>
      <c r="N115" s="4">
        <v>0</v>
      </c>
      <c r="O115" s="4"/>
      <c r="P115" s="3"/>
      <c r="Q115" s="96"/>
      <c r="R115" s="96"/>
      <c r="T115" s="15"/>
      <c r="U115" s="15"/>
      <c r="V115" s="15"/>
    </row>
    <row r="116" spans="1:22" x14ac:dyDescent="0.2">
      <c r="A116" s="3">
        <v>43496</v>
      </c>
      <c r="B116" s="106" t="s">
        <v>210</v>
      </c>
      <c r="C116" s="106" t="s">
        <v>157</v>
      </c>
      <c r="D116" s="103" t="s">
        <v>11</v>
      </c>
      <c r="E116" s="21">
        <v>1.46</v>
      </c>
      <c r="F116" s="21">
        <v>1.62</v>
      </c>
      <c r="G116" s="21">
        <v>4378.3100000000004</v>
      </c>
      <c r="H116" s="21">
        <f>F116*$T$31</f>
        <v>10.84371108343711</v>
      </c>
      <c r="I116" s="21">
        <f>F116*$V$31</f>
        <v>1.321419676214197</v>
      </c>
      <c r="J116" s="21">
        <f>H116*(-$M116)</f>
        <v>69399.750933997508</v>
      </c>
      <c r="K116" s="21">
        <f t="shared" si="42"/>
        <v>8457.0859277708605</v>
      </c>
      <c r="L116" s="7" t="s">
        <v>10</v>
      </c>
      <c r="M116" s="1">
        <v>-6400</v>
      </c>
      <c r="N116" s="4">
        <v>7.67</v>
      </c>
      <c r="O116" s="4"/>
      <c r="P116" s="3"/>
      <c r="Q116" s="96"/>
      <c r="R116" s="96"/>
      <c r="T116" s="15"/>
      <c r="U116" s="15"/>
      <c r="V116" s="15"/>
    </row>
    <row r="117" spans="1:22" x14ac:dyDescent="0.2">
      <c r="A117" s="3">
        <v>43496</v>
      </c>
      <c r="B117" s="113" t="s">
        <v>7447</v>
      </c>
      <c r="C117" s="116" t="s">
        <v>145</v>
      </c>
      <c r="D117" s="3" t="s">
        <v>11</v>
      </c>
      <c r="E117" s="21">
        <v>1.554</v>
      </c>
      <c r="F117" s="21">
        <v>2.44</v>
      </c>
      <c r="G117" s="21">
        <v>4115.1099999999997</v>
      </c>
      <c r="H117" s="21"/>
      <c r="I117" s="21"/>
      <c r="J117" s="21">
        <f t="shared" ref="J117" si="44">H117*(-$M117)</f>
        <v>0</v>
      </c>
      <c r="K117" s="21">
        <f t="shared" ref="K117" si="45">I117*(-$M117)</f>
        <v>0</v>
      </c>
      <c r="L117" s="7" t="s">
        <v>10</v>
      </c>
      <c r="M117" s="1">
        <v>-6400</v>
      </c>
      <c r="N117" s="4">
        <v>5.12</v>
      </c>
      <c r="O117" s="4"/>
      <c r="P117" s="3"/>
      <c r="Q117" s="96"/>
      <c r="R117" s="96"/>
      <c r="T117" s="15"/>
      <c r="U117" s="15"/>
      <c r="V117" s="15"/>
    </row>
    <row r="118" spans="1:22" x14ac:dyDescent="0.2">
      <c r="A118" s="3"/>
      <c r="B118" s="113"/>
      <c r="C118" s="113"/>
      <c r="D118" s="3"/>
      <c r="E118" s="21"/>
      <c r="F118" s="21"/>
      <c r="G118" s="20"/>
      <c r="H118" s="21"/>
      <c r="I118" s="21"/>
      <c r="J118" s="21"/>
      <c r="K118" s="21"/>
      <c r="L118" s="5"/>
      <c r="M118" s="1"/>
      <c r="N118" s="4"/>
      <c r="O118" s="4"/>
      <c r="P118" s="3"/>
      <c r="Q118" s="96"/>
      <c r="R118" s="96"/>
      <c r="T118" s="15"/>
      <c r="U118" s="15"/>
      <c r="V118" s="15"/>
    </row>
    <row r="119" spans="1:22" x14ac:dyDescent="0.2">
      <c r="A119" s="3"/>
      <c r="B119" s="113"/>
      <c r="C119" s="113"/>
      <c r="D119" s="3"/>
      <c r="E119" s="21"/>
      <c r="F119" s="21"/>
      <c r="G119" s="20"/>
      <c r="H119" s="21"/>
      <c r="I119" s="21"/>
      <c r="J119" s="21">
        <f t="shared" ref="J119" si="46">H119*(-M119)</f>
        <v>0</v>
      </c>
      <c r="K119" s="21"/>
      <c r="L119" s="5"/>
      <c r="M119" s="1"/>
      <c r="N119" s="4"/>
      <c r="P119" s="3"/>
      <c r="Q119" s="96"/>
      <c r="R119" s="96"/>
      <c r="T119" s="15"/>
      <c r="U119" s="15"/>
      <c r="V119" s="15"/>
    </row>
    <row r="120" spans="1:22" x14ac:dyDescent="0.2">
      <c r="A120" s="3"/>
      <c r="B120" s="111"/>
      <c r="C120" s="111"/>
      <c r="D120" s="3"/>
      <c r="E120" s="21"/>
      <c r="F120" s="21"/>
      <c r="G120" s="20"/>
      <c r="H120" s="21"/>
      <c r="I120" s="21"/>
      <c r="J120" s="21"/>
      <c r="K120" s="21"/>
      <c r="L120" s="5"/>
      <c r="M120" s="1"/>
      <c r="N120" s="4"/>
      <c r="O120" s="4"/>
      <c r="P120" s="3"/>
      <c r="Q120" s="96"/>
      <c r="R120" s="96"/>
      <c r="T120" s="15"/>
      <c r="U120" s="15"/>
      <c r="V120" s="15"/>
    </row>
    <row r="121" spans="1:22" x14ac:dyDescent="0.2">
      <c r="A121" s="3"/>
      <c r="B121" s="111"/>
      <c r="C121" s="111"/>
      <c r="D121" s="3"/>
      <c r="E121" s="21"/>
      <c r="F121" s="21"/>
      <c r="G121" s="20"/>
      <c r="H121" s="21"/>
      <c r="I121" s="21"/>
      <c r="J121" s="21"/>
      <c r="K121" s="21"/>
      <c r="L121" s="5"/>
      <c r="M121" s="1"/>
      <c r="N121" s="4"/>
      <c r="P121" s="3"/>
      <c r="Q121" s="96"/>
      <c r="R121" s="96"/>
      <c r="T121" s="15"/>
      <c r="U121" s="15"/>
      <c r="V121" s="15"/>
    </row>
    <row r="122" spans="1:22" x14ac:dyDescent="0.2">
      <c r="A122" s="3"/>
      <c r="B122" s="111"/>
      <c r="C122" s="111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6"/>
      <c r="R122" s="96"/>
      <c r="T122" s="15"/>
      <c r="U122" s="15"/>
      <c r="V122" s="15"/>
    </row>
    <row r="123" spans="1:22" x14ac:dyDescent="0.2">
      <c r="A123" s="3"/>
      <c r="B123" s="111"/>
      <c r="C123" s="11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6"/>
      <c r="R123" s="96"/>
      <c r="T123" s="15"/>
      <c r="U123" s="15"/>
      <c r="V123" s="15"/>
    </row>
    <row r="124" spans="1:22" x14ac:dyDescent="0.2">
      <c r="A124" s="3"/>
      <c r="B124" s="111"/>
      <c r="C124" s="111"/>
      <c r="D124" s="3"/>
      <c r="E124" s="21"/>
      <c r="F124" s="21"/>
      <c r="G124" s="20"/>
      <c r="H124" s="21"/>
      <c r="I124" s="21"/>
      <c r="J124" s="21">
        <f t="shared" ref="J124" si="47">H124*(-M124)</f>
        <v>0</v>
      </c>
      <c r="K124" s="21"/>
      <c r="L124" s="5"/>
      <c r="M124" s="1"/>
      <c r="N124" s="4"/>
      <c r="P124" s="3"/>
      <c r="Q124" s="96"/>
      <c r="R124" s="96"/>
      <c r="T124" s="15"/>
      <c r="U124" s="15"/>
      <c r="V124" s="15"/>
    </row>
    <row r="125" spans="1:22" x14ac:dyDescent="0.2">
      <c r="A125" s="3"/>
      <c r="B125" s="111"/>
      <c r="C125" s="11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6"/>
      <c r="R125" s="96"/>
      <c r="T125" s="15"/>
      <c r="U125" s="15"/>
      <c r="V125" s="15"/>
    </row>
    <row r="126" spans="1:22" x14ac:dyDescent="0.2">
      <c r="A126" s="3"/>
      <c r="B126" s="111"/>
      <c r="C126" s="111"/>
      <c r="D126" s="3"/>
      <c r="E126" s="21"/>
      <c r="F126" s="21"/>
      <c r="G126" s="20"/>
      <c r="H126" s="21"/>
      <c r="I126" s="21"/>
      <c r="J126" s="21">
        <f t="shared" ref="J126" si="48">H126*(-M126)</f>
        <v>0</v>
      </c>
      <c r="K126" s="21"/>
      <c r="L126" s="5"/>
      <c r="M126" s="1"/>
      <c r="N126" s="4"/>
      <c r="P126" s="3"/>
      <c r="Q126" s="96"/>
      <c r="R126" s="96"/>
      <c r="T126" s="25"/>
      <c r="U126" s="15"/>
      <c r="V126" s="15"/>
    </row>
    <row r="127" spans="1:22" x14ac:dyDescent="0.2">
      <c r="A127" s="3"/>
      <c r="B127" s="70"/>
      <c r="C127" s="70"/>
      <c r="D127" s="3"/>
      <c r="E127" s="21"/>
      <c r="F127" s="21"/>
      <c r="G127" s="20"/>
      <c r="H127" s="21"/>
      <c r="I127" s="21"/>
      <c r="J127" s="21">
        <f t="shared" ref="J127" si="49">H127*(-M127)</f>
        <v>0</v>
      </c>
      <c r="K127" s="21"/>
      <c r="L127" s="5"/>
      <c r="M127" s="1"/>
      <c r="N127" s="4"/>
      <c r="P127" s="3"/>
      <c r="Q127" s="96"/>
      <c r="R127" s="96"/>
      <c r="T127" s="25"/>
      <c r="U127" s="15"/>
      <c r="V127" s="15"/>
    </row>
    <row r="128" spans="1:22" x14ac:dyDescent="0.2">
      <c r="A128" s="3"/>
      <c r="B128" s="111"/>
      <c r="C128" s="11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6"/>
      <c r="R128" s="96"/>
      <c r="T128" s="25"/>
      <c r="U128" s="15"/>
      <c r="V128" s="15"/>
    </row>
    <row r="129" spans="1:22" x14ac:dyDescent="0.2">
      <c r="A129" s="3"/>
      <c r="B129" s="111"/>
      <c r="C129" s="111"/>
      <c r="D129" s="3"/>
      <c r="E129" s="21"/>
      <c r="F129" s="21"/>
      <c r="G129" s="20"/>
      <c r="H129" s="21"/>
      <c r="I129" s="21"/>
      <c r="J129" s="21"/>
      <c r="K129" s="21"/>
      <c r="L129" s="5"/>
      <c r="M129" s="1"/>
      <c r="N129" s="4"/>
      <c r="P129" s="3"/>
      <c r="Q129" s="96"/>
      <c r="R129" s="96"/>
      <c r="T129" s="25"/>
      <c r="U129" s="15"/>
      <c r="V129" s="15"/>
    </row>
    <row r="130" spans="1:22" x14ac:dyDescent="0.2">
      <c r="A130" s="3"/>
      <c r="B130" s="111"/>
      <c r="C130" s="111"/>
      <c r="D130" s="3"/>
      <c r="E130" s="21"/>
      <c r="F130" s="21"/>
      <c r="G130" s="20"/>
      <c r="H130" s="21"/>
      <c r="I130" s="21"/>
      <c r="J130" s="21"/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11"/>
      <c r="C131" s="11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11"/>
      <c r="C132" s="11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11"/>
      <c r="C133" s="111"/>
      <c r="D133" s="3"/>
      <c r="E133" s="21"/>
      <c r="F133" s="21"/>
      <c r="G133" s="20"/>
      <c r="H133" s="21"/>
      <c r="I133" s="21"/>
      <c r="J133" s="21">
        <f t="shared" ref="J133" si="50">H133*(-M133)</f>
        <v>0</v>
      </c>
      <c r="K133" s="21"/>
      <c r="L133" s="5"/>
      <c r="M133" s="1"/>
      <c r="N133" s="4"/>
      <c r="P133" s="3"/>
      <c r="U133" s="15"/>
    </row>
    <row r="134" spans="1:22" x14ac:dyDescent="0.2">
      <c r="A134" s="3"/>
      <c r="B134" s="70"/>
      <c r="C134" s="70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70"/>
      <c r="C135" s="70"/>
      <c r="D135" s="3"/>
      <c r="E135" s="21"/>
      <c r="F135" s="21"/>
      <c r="G135" s="20"/>
      <c r="H135" s="21"/>
      <c r="I135" s="21"/>
      <c r="J135" s="21">
        <f t="shared" ref="J135" si="51">H135*(-M135)</f>
        <v>0</v>
      </c>
      <c r="K135" s="21"/>
      <c r="L135" s="5"/>
      <c r="M135" s="1"/>
      <c r="N135" s="4"/>
      <c r="P135" s="3"/>
      <c r="U135" s="15"/>
    </row>
    <row r="136" spans="1:22" x14ac:dyDescent="0.2">
      <c r="A136" s="3"/>
      <c r="B136" s="70"/>
      <c r="C136" s="70"/>
      <c r="D136" s="3"/>
      <c r="E136" s="21"/>
      <c r="F136" s="21"/>
      <c r="G136" s="20"/>
      <c r="H136" s="21"/>
      <c r="I136" s="21"/>
      <c r="J136" s="21">
        <f t="shared" ref="J136:J146" si="52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si="52"/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si="52"/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>
        <v>43404</v>
      </c>
      <c r="D140" s="3"/>
      <c r="E140" s="3"/>
      <c r="F140" s="3"/>
      <c r="G140" s="3"/>
      <c r="H140" s="3"/>
      <c r="I140" s="3"/>
      <c r="J140" s="21">
        <f t="shared" si="52"/>
        <v>0</v>
      </c>
      <c r="K140" s="21"/>
      <c r="L140" s="8" t="s">
        <v>196</v>
      </c>
      <c r="M140" s="1">
        <f>SUM(S4:S6)</f>
        <v>618768.14</v>
      </c>
      <c r="N140" s="1"/>
      <c r="P140" s="63"/>
    </row>
    <row r="141" spans="1:22" x14ac:dyDescent="0.2">
      <c r="A141" s="3"/>
      <c r="B141" s="2"/>
      <c r="C141" s="2"/>
      <c r="D141" s="3"/>
      <c r="E141" s="3"/>
      <c r="F141" s="3"/>
      <c r="G141" s="3"/>
      <c r="H141" s="3"/>
      <c r="I141" s="3"/>
      <c r="J141" s="21">
        <f t="shared" si="52"/>
        <v>0</v>
      </c>
      <c r="K141" s="21"/>
      <c r="M141" s="1"/>
      <c r="N141" s="4"/>
      <c r="P141" s="63"/>
    </row>
    <row r="142" spans="1:22" x14ac:dyDescent="0.2">
      <c r="A142" s="3"/>
      <c r="B142" s="2"/>
      <c r="C142" s="2"/>
      <c r="D142" s="3"/>
      <c r="E142" s="3"/>
      <c r="F142" s="3"/>
      <c r="G142" s="3"/>
      <c r="H142" s="3"/>
      <c r="I142" s="3"/>
      <c r="J142" s="21">
        <f t="shared" si="52"/>
        <v>0</v>
      </c>
      <c r="K142" s="21"/>
      <c r="M142" s="1"/>
      <c r="N142" s="4"/>
      <c r="P142" s="63"/>
    </row>
    <row r="143" spans="1:22" x14ac:dyDescent="0.2">
      <c r="A143" s="3"/>
      <c r="B143" s="2"/>
      <c r="C143" s="2"/>
      <c r="D143" s="3"/>
      <c r="E143" s="3"/>
      <c r="F143" s="3"/>
      <c r="G143" s="3"/>
      <c r="H143" s="3"/>
      <c r="I143" s="3"/>
      <c r="J143" s="21">
        <f t="shared" si="52"/>
        <v>0</v>
      </c>
      <c r="K143" s="21"/>
      <c r="M143" s="1"/>
      <c r="N143" s="4"/>
      <c r="P143" s="63"/>
    </row>
    <row r="144" spans="1:22" x14ac:dyDescent="0.2">
      <c r="A144" s="3"/>
      <c r="D144" s="3"/>
      <c r="E144" s="3"/>
      <c r="F144" s="3"/>
      <c r="G144" s="3"/>
      <c r="H144" s="3"/>
      <c r="I144" s="3"/>
      <c r="J144" s="21">
        <f t="shared" si="52"/>
        <v>0</v>
      </c>
      <c r="K144" s="21"/>
      <c r="L144" s="8" t="s">
        <v>26</v>
      </c>
      <c r="M144" s="12">
        <f>XIRR($M2:$M143,$A2:$A143)</f>
        <v>2.9802322387695314E-9</v>
      </c>
      <c r="N144" s="12"/>
      <c r="P144" s="63"/>
    </row>
    <row r="145" spans="10:16" x14ac:dyDescent="0.2">
      <c r="J145" s="21">
        <f t="shared" si="52"/>
        <v>0</v>
      </c>
      <c r="K145" s="21"/>
      <c r="L145" s="3">
        <v>43235</v>
      </c>
      <c r="M145" s="16">
        <v>0.15763732790946963</v>
      </c>
      <c r="P145" s="63"/>
    </row>
    <row r="146" spans="10:16" x14ac:dyDescent="0.2">
      <c r="J146" s="21">
        <f t="shared" si="52"/>
        <v>0</v>
      </c>
      <c r="K146" s="21"/>
      <c r="L146" s="3">
        <v>43259</v>
      </c>
      <c r="M146" s="16">
        <v>4.7603145241737366E-2</v>
      </c>
      <c r="P146" s="63"/>
    </row>
    <row r="147" spans="10:16" x14ac:dyDescent="0.2">
      <c r="P147" s="63"/>
    </row>
    <row r="148" spans="10:16" x14ac:dyDescent="0.2">
      <c r="P148" s="63"/>
    </row>
    <row r="149" spans="10:16" x14ac:dyDescent="0.2">
      <c r="P149" s="63"/>
    </row>
    <row r="150" spans="10:16" x14ac:dyDescent="0.2">
      <c r="P150" s="63"/>
    </row>
    <row r="151" spans="10:16" x14ac:dyDescent="0.2">
      <c r="P151" s="63"/>
    </row>
    <row r="152" spans="10:16" x14ac:dyDescent="0.2">
      <c r="P152" s="63"/>
    </row>
    <row r="153" spans="10:16" x14ac:dyDescent="0.2">
      <c r="P153" s="63"/>
    </row>
    <row r="154" spans="10:16" x14ac:dyDescent="0.2">
      <c r="P154" s="63"/>
    </row>
    <row r="155" spans="10:16" x14ac:dyDescent="0.2">
      <c r="P155" s="63"/>
    </row>
    <row r="156" spans="10:16" x14ac:dyDescent="0.2">
      <c r="P156" s="63"/>
    </row>
    <row r="157" spans="10:16" x14ac:dyDescent="0.2">
      <c r="P157" s="63"/>
    </row>
    <row r="158" spans="10:16" x14ac:dyDescent="0.2">
      <c r="P158" s="63"/>
    </row>
    <row r="159" spans="10:16" x14ac:dyDescent="0.2">
      <c r="P159" s="63"/>
    </row>
    <row r="160" spans="10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N164">
        <f>SUMIF(C:C,"=医药",J:J)/SUMIF(C:C,"=医药",M:M)*-1</f>
        <v>29.445647024026695</v>
      </c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R167" s="15"/>
    </row>
    <row r="168" spans="14:18" x14ac:dyDescent="0.2">
      <c r="R168" s="15"/>
    </row>
  </sheetData>
  <autoFilter ref="A1:W114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2 N127:N131">
    <cfRule type="cellIs" dxfId="75" priority="101" operator="greaterThan">
      <formula>3</formula>
    </cfRule>
  </conditionalFormatting>
  <conditionalFormatting sqref="N43:N47 N140:N142">
    <cfRule type="cellIs" dxfId="74" priority="100" operator="greaterThan">
      <formula>3</formula>
    </cfRule>
  </conditionalFormatting>
  <conditionalFormatting sqref="N48">
    <cfRule type="cellIs" dxfId="73" priority="98" operator="greaterThan">
      <formula>3</formula>
    </cfRule>
  </conditionalFormatting>
  <conditionalFormatting sqref="N49">
    <cfRule type="cellIs" dxfId="72" priority="97" operator="greaterThan">
      <formula>3</formula>
    </cfRule>
  </conditionalFormatting>
  <conditionalFormatting sqref="N50">
    <cfRule type="cellIs" dxfId="71" priority="96" operator="greaterThan">
      <formula>3</formula>
    </cfRule>
  </conditionalFormatting>
  <conditionalFormatting sqref="N52">
    <cfRule type="cellIs" dxfId="70" priority="95" operator="greaterThan">
      <formula>3</formula>
    </cfRule>
  </conditionalFormatting>
  <conditionalFormatting sqref="N53">
    <cfRule type="cellIs" dxfId="69" priority="94" operator="greaterThan">
      <formula>3</formula>
    </cfRule>
  </conditionalFormatting>
  <conditionalFormatting sqref="N54 N60 N77">
    <cfRule type="cellIs" dxfId="68" priority="93" operator="greaterThan">
      <formula>3</formula>
    </cfRule>
  </conditionalFormatting>
  <conditionalFormatting sqref="N51">
    <cfRule type="cellIs" dxfId="67" priority="92" operator="greaterThan">
      <formula>3</formula>
    </cfRule>
  </conditionalFormatting>
  <conditionalFormatting sqref="N25">
    <cfRule type="cellIs" dxfId="66" priority="90" operator="greaterThan">
      <formula>3</formula>
    </cfRule>
  </conditionalFormatting>
  <conditionalFormatting sqref="N55">
    <cfRule type="cellIs" dxfId="65" priority="88" operator="greaterThan">
      <formula>3</formula>
    </cfRule>
  </conditionalFormatting>
  <conditionalFormatting sqref="N56">
    <cfRule type="cellIs" dxfId="64" priority="87" operator="greaterThan">
      <formula>3</formula>
    </cfRule>
  </conditionalFormatting>
  <conditionalFormatting sqref="N57">
    <cfRule type="cellIs" dxfId="63" priority="85" operator="greaterThan">
      <formula>3</formula>
    </cfRule>
  </conditionalFormatting>
  <conditionalFormatting sqref="N58">
    <cfRule type="cellIs" dxfId="62" priority="84" operator="greaterThan">
      <formula>3</formula>
    </cfRule>
  </conditionalFormatting>
  <conditionalFormatting sqref="N59">
    <cfRule type="cellIs" dxfId="61" priority="83" operator="greaterThan">
      <formula>3</formula>
    </cfRule>
  </conditionalFormatting>
  <conditionalFormatting sqref="N70">
    <cfRule type="cellIs" dxfId="60" priority="82" operator="greaterThan">
      <formula>3</formula>
    </cfRule>
  </conditionalFormatting>
  <conditionalFormatting sqref="N61">
    <cfRule type="cellIs" dxfId="59" priority="80" operator="greaterThan">
      <formula>3</formula>
    </cfRule>
  </conditionalFormatting>
  <conditionalFormatting sqref="N62:N63 N69">
    <cfRule type="cellIs" dxfId="58" priority="79" operator="greaterThan">
      <formula>3</formula>
    </cfRule>
  </conditionalFormatting>
  <conditionalFormatting sqref="N66">
    <cfRule type="cellIs" dxfId="57" priority="75" operator="greaterThan">
      <formula>3</formula>
    </cfRule>
  </conditionalFormatting>
  <conditionalFormatting sqref="N65">
    <cfRule type="cellIs" dxfId="56" priority="76" operator="greaterThan">
      <formula>3</formula>
    </cfRule>
  </conditionalFormatting>
  <conditionalFormatting sqref="N64">
    <cfRule type="cellIs" dxfId="55" priority="77" operator="greaterThan">
      <formula>3</formula>
    </cfRule>
  </conditionalFormatting>
  <conditionalFormatting sqref="N68">
    <cfRule type="cellIs" dxfId="54" priority="73" operator="greaterThan">
      <formula>3</formula>
    </cfRule>
  </conditionalFormatting>
  <conditionalFormatting sqref="N67">
    <cfRule type="cellIs" dxfId="53" priority="74" operator="greaterThan">
      <formula>3</formula>
    </cfRule>
  </conditionalFormatting>
  <conditionalFormatting sqref="N17:N18">
    <cfRule type="cellIs" dxfId="52" priority="72" operator="greaterThan">
      <formula>3</formula>
    </cfRule>
  </conditionalFormatting>
  <conditionalFormatting sqref="N76">
    <cfRule type="cellIs" dxfId="51" priority="71" operator="greaterThan">
      <formula>3</formula>
    </cfRule>
  </conditionalFormatting>
  <conditionalFormatting sqref="N71">
    <cfRule type="cellIs" dxfId="50" priority="70" operator="greaterThan">
      <formula>3</formula>
    </cfRule>
  </conditionalFormatting>
  <conditionalFormatting sqref="N73">
    <cfRule type="cellIs" dxfId="49" priority="69" operator="greaterThan">
      <formula>3</formula>
    </cfRule>
  </conditionalFormatting>
  <conditionalFormatting sqref="N75">
    <cfRule type="cellIs" dxfId="48" priority="68" operator="greaterThan">
      <formula>3</formula>
    </cfRule>
  </conditionalFormatting>
  <conditionalFormatting sqref="N72">
    <cfRule type="cellIs" dxfId="47" priority="65" operator="greaterThan">
      <formula>3</formula>
    </cfRule>
  </conditionalFormatting>
  <conditionalFormatting sqref="N78">
    <cfRule type="cellIs" dxfId="46" priority="64" operator="greaterThan">
      <formula>3</formula>
    </cfRule>
  </conditionalFormatting>
  <conditionalFormatting sqref="N79">
    <cfRule type="cellIs" dxfId="45" priority="63" operator="greaterThan">
      <formula>3</formula>
    </cfRule>
  </conditionalFormatting>
  <conditionalFormatting sqref="N80">
    <cfRule type="cellIs" dxfId="44" priority="62" operator="greaterThan">
      <formula>3</formula>
    </cfRule>
  </conditionalFormatting>
  <conditionalFormatting sqref="N81">
    <cfRule type="cellIs" dxfId="43" priority="61" operator="greaterThan">
      <formula>3</formula>
    </cfRule>
  </conditionalFormatting>
  <conditionalFormatting sqref="N134:N139">
    <cfRule type="cellIs" dxfId="42" priority="56" operator="greaterThan">
      <formula>3</formula>
    </cfRule>
  </conditionalFormatting>
  <conditionalFormatting sqref="N82">
    <cfRule type="cellIs" dxfId="41" priority="55" operator="greaterThan">
      <formula>3</formula>
    </cfRule>
  </conditionalFormatting>
  <conditionalFormatting sqref="N83">
    <cfRule type="cellIs" dxfId="40" priority="54" operator="greaterThan">
      <formula>3</formula>
    </cfRule>
  </conditionalFormatting>
  <conditionalFormatting sqref="N84">
    <cfRule type="cellIs" dxfId="39" priority="53" operator="greaterThan">
      <formula>3</formula>
    </cfRule>
  </conditionalFormatting>
  <conditionalFormatting sqref="N85">
    <cfRule type="cellIs" dxfId="38" priority="52" operator="greaterThan">
      <formula>3</formula>
    </cfRule>
  </conditionalFormatting>
  <conditionalFormatting sqref="N86">
    <cfRule type="cellIs" dxfId="37" priority="50" operator="greaterThan">
      <formula>3</formula>
    </cfRule>
  </conditionalFormatting>
  <conditionalFormatting sqref="N87">
    <cfRule type="cellIs" dxfId="36" priority="49" operator="greaterThan">
      <formula>3</formula>
    </cfRule>
  </conditionalFormatting>
  <conditionalFormatting sqref="N74">
    <cfRule type="cellIs" dxfId="35" priority="46" operator="greaterThan">
      <formula>3</formula>
    </cfRule>
  </conditionalFormatting>
  <conditionalFormatting sqref="N89">
    <cfRule type="cellIs" dxfId="34" priority="45" operator="greaterThan">
      <formula>3</formula>
    </cfRule>
  </conditionalFormatting>
  <conditionalFormatting sqref="N88">
    <cfRule type="cellIs" dxfId="33" priority="44" operator="greaterThan">
      <formula>3</formula>
    </cfRule>
  </conditionalFormatting>
  <conditionalFormatting sqref="N90">
    <cfRule type="cellIs" dxfId="32" priority="43" operator="greaterThan">
      <formula>3</formula>
    </cfRule>
  </conditionalFormatting>
  <conditionalFormatting sqref="N92">
    <cfRule type="cellIs" dxfId="31" priority="40" operator="greaterThan">
      <formula>3</formula>
    </cfRule>
  </conditionalFormatting>
  <conditionalFormatting sqref="N91">
    <cfRule type="cellIs" dxfId="30" priority="41" operator="greaterThan">
      <formula>3</formula>
    </cfRule>
  </conditionalFormatting>
  <conditionalFormatting sqref="N93">
    <cfRule type="cellIs" dxfId="29" priority="38" operator="greaterThan">
      <formula>3</formula>
    </cfRule>
  </conditionalFormatting>
  <conditionalFormatting sqref="N94">
    <cfRule type="cellIs" dxfId="28" priority="37" operator="greaterThan">
      <formula>3</formula>
    </cfRule>
  </conditionalFormatting>
  <conditionalFormatting sqref="N95">
    <cfRule type="cellIs" dxfId="27" priority="35" operator="greaterThan">
      <formula>3</formula>
    </cfRule>
  </conditionalFormatting>
  <conditionalFormatting sqref="N96">
    <cfRule type="cellIs" dxfId="26" priority="34" operator="greaterThan">
      <formula>3</formula>
    </cfRule>
  </conditionalFormatting>
  <conditionalFormatting sqref="N97">
    <cfRule type="cellIs" dxfId="25" priority="33" operator="greaterThan">
      <formula>3</formula>
    </cfRule>
  </conditionalFormatting>
  <conditionalFormatting sqref="N98">
    <cfRule type="cellIs" dxfId="24" priority="32" operator="greaterThan">
      <formula>3</formula>
    </cfRule>
  </conditionalFormatting>
  <conditionalFormatting sqref="N99">
    <cfRule type="cellIs" dxfId="23" priority="31" operator="greaterThan">
      <formula>3</formula>
    </cfRule>
  </conditionalFormatting>
  <conditionalFormatting sqref="N100">
    <cfRule type="cellIs" dxfId="22" priority="28" operator="greaterThan">
      <formula>3</formula>
    </cfRule>
  </conditionalFormatting>
  <conditionalFormatting sqref="N101">
    <cfRule type="cellIs" dxfId="21" priority="27" operator="greaterThan">
      <formula>3</formula>
    </cfRule>
  </conditionalFormatting>
  <conditionalFormatting sqref="N132:N133">
    <cfRule type="cellIs" dxfId="20" priority="26" operator="greaterThan">
      <formula>3</formula>
    </cfRule>
  </conditionalFormatting>
  <conditionalFormatting sqref="N120:N122">
    <cfRule type="cellIs" dxfId="19" priority="25" operator="greaterThan">
      <formula>3</formula>
    </cfRule>
  </conditionalFormatting>
  <conditionalFormatting sqref="N125:N126">
    <cfRule type="cellIs" dxfId="18" priority="24" operator="greaterThan">
      <formula>3</formula>
    </cfRule>
  </conditionalFormatting>
  <conditionalFormatting sqref="N123:N124">
    <cfRule type="cellIs" dxfId="17" priority="23" operator="greaterThan">
      <formula>3</formula>
    </cfRule>
  </conditionalFormatting>
  <conditionalFormatting sqref="N103">
    <cfRule type="cellIs" dxfId="16" priority="22" operator="greaterThan">
      <formula>3</formula>
    </cfRule>
  </conditionalFormatting>
  <conditionalFormatting sqref="N104">
    <cfRule type="cellIs" dxfId="15" priority="20" operator="greaterThan">
      <formula>3</formula>
    </cfRule>
  </conditionalFormatting>
  <conditionalFormatting sqref="N118:N119">
    <cfRule type="cellIs" dxfId="14" priority="18" operator="greaterThan">
      <formula>3</formula>
    </cfRule>
  </conditionalFormatting>
  <conditionalFormatting sqref="N105">
    <cfRule type="cellIs" dxfId="13" priority="15" operator="greaterThan">
      <formula>3</formula>
    </cfRule>
  </conditionalFormatting>
  <conditionalFormatting sqref="N106">
    <cfRule type="cellIs" dxfId="12" priority="14" operator="greaterThan">
      <formula>3</formula>
    </cfRule>
  </conditionalFormatting>
  <conditionalFormatting sqref="N107">
    <cfRule type="cellIs" dxfId="11" priority="13" operator="greaterThan">
      <formula>3</formula>
    </cfRule>
  </conditionalFormatting>
  <conditionalFormatting sqref="N110">
    <cfRule type="cellIs" dxfId="10" priority="9" operator="greaterThan">
      <formula>3</formula>
    </cfRule>
  </conditionalFormatting>
  <conditionalFormatting sqref="N108">
    <cfRule type="cellIs" dxfId="9" priority="11" operator="greaterThan">
      <formula>3</formula>
    </cfRule>
  </conditionalFormatting>
  <conditionalFormatting sqref="N109">
    <cfRule type="cellIs" dxfId="8" priority="10" operator="greaterThan">
      <formula>3</formula>
    </cfRule>
  </conditionalFormatting>
  <conditionalFormatting sqref="N111">
    <cfRule type="cellIs" dxfId="7" priority="8" operator="greaterThan">
      <formula>3</formula>
    </cfRule>
  </conditionalFormatting>
  <conditionalFormatting sqref="N112">
    <cfRule type="cellIs" dxfId="6" priority="7" operator="greaterThan">
      <formula>3</formula>
    </cfRule>
  </conditionalFormatting>
  <conditionalFormatting sqref="N113">
    <cfRule type="cellIs" dxfId="5" priority="6" operator="greaterThan">
      <formula>3</formula>
    </cfRule>
  </conditionalFormatting>
  <conditionalFormatting sqref="N114">
    <cfRule type="cellIs" dxfId="4" priority="5" operator="greaterThan">
      <formula>3</formula>
    </cfRule>
  </conditionalFormatting>
  <conditionalFormatting sqref="N115">
    <cfRule type="cellIs" dxfId="3" priority="4" operator="greaterThan">
      <formula>3</formula>
    </cfRule>
  </conditionalFormatting>
  <conditionalFormatting sqref="N116">
    <cfRule type="cellIs" dxfId="2" priority="3" operator="greaterThan">
      <formula>3</formula>
    </cfRule>
  </conditionalFormatting>
  <conditionalFormatting sqref="N117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abSelected="1"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已投部分年化收益率!T31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220</v>
      </c>
      <c r="C61" s="46" t="s">
        <v>192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221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7" t="s">
        <v>40</v>
      </c>
      <c r="C66" s="36" t="s">
        <v>7425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10" workbookViewId="0">
      <selection activeCell="H40" sqref="H40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10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0.11878688749999997</v>
      </c>
      <c r="H3" s="19">
        <f>D27+D17+D18+D19+D20</f>
        <v>0.16750000000000001</v>
      </c>
    </row>
    <row r="4" spans="1:18" x14ac:dyDescent="0.2">
      <c r="A4" s="110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0.84276684999999996</v>
      </c>
      <c r="H4" s="19">
        <f>1-H3-H5</f>
        <v>0.81240000000000001</v>
      </c>
    </row>
    <row r="5" spans="1:18" x14ac:dyDescent="0.2">
      <c r="A5" s="110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3.8446262500000002E-2</v>
      </c>
      <c r="H5" s="19">
        <f>SUM(D24:D26)</f>
        <v>2.01E-2</v>
      </c>
      <c r="M5" s="3"/>
    </row>
    <row r="6" spans="1:18" x14ac:dyDescent="0.2">
      <c r="A6" s="110"/>
      <c r="B6" s="2" t="s">
        <v>18</v>
      </c>
      <c r="C6" s="28">
        <f>已投部分年化收益率!Z16</f>
        <v>0.23511088749999998</v>
      </c>
      <c r="D6" s="18">
        <f>(11+9+2+3)*0.0067</f>
        <v>0.16750000000000001</v>
      </c>
      <c r="E6" s="50"/>
      <c r="M6" s="3"/>
    </row>
    <row r="7" spans="1:18" x14ac:dyDescent="0.2">
      <c r="A7" s="110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10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20"/>
      <c r="B9" s="100" t="s">
        <v>7424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21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5">
        <f t="shared" si="0"/>
        <v>0.73133024691358106</v>
      </c>
      <c r="M10" s="3"/>
    </row>
    <row r="11" spans="1:18" x14ac:dyDescent="0.2">
      <c r="A11" s="110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10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20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5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21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10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10"/>
      <c r="B16" s="2" t="s">
        <v>7448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 x14ac:dyDescent="0.2">
      <c r="A17" s="110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 x14ac:dyDescent="0.2">
      <c r="A18" s="110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10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1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10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10"/>
      <c r="B22" s="67" t="s">
        <v>195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0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10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 x14ac:dyDescent="0.2">
      <c r="A25" s="110"/>
      <c r="B25" s="2" t="s">
        <v>66</v>
      </c>
      <c r="C25" s="19">
        <f>已投部分年化收益率!Z48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A26" s="110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 x14ac:dyDescent="0.2">
      <c r="A27" s="110"/>
      <c r="B27" s="25" t="s">
        <v>65</v>
      </c>
      <c r="C27" s="19">
        <f>已投部分年化收益率!Z49</f>
        <v>0.11354058749999996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 x14ac:dyDescent="0.2">
      <c r="A28" s="110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 x14ac:dyDescent="0.2">
      <c r="A29" s="110"/>
      <c r="F29" t="s">
        <v>83</v>
      </c>
      <c r="G29" s="19">
        <f>C5</f>
        <v>5.5856999999999997E-2</v>
      </c>
      <c r="H29" s="1">
        <f>已投部分年化收益率!X15</f>
        <v>11.36622394649374</v>
      </c>
      <c r="I29" s="1">
        <f>ETF计划成本计算!D53</f>
        <v>10.011348880500208</v>
      </c>
      <c r="J29" s="18">
        <f>已投部分年化收益率!S15/H29-1</f>
        <v>-5.4215362058199879E-2</v>
      </c>
    </row>
    <row r="30" spans="1:28" x14ac:dyDescent="0.2">
      <c r="A30" s="110"/>
      <c r="F30" t="s">
        <v>77</v>
      </c>
      <c r="G30" s="19">
        <f>C6</f>
        <v>0.23511088749999998</v>
      </c>
      <c r="H30" s="55">
        <f>已投部分年化收益率!X16</f>
        <v>20.694164178205895</v>
      </c>
      <c r="I30" s="4">
        <f>ETF计划成本计算!D20</f>
        <v>21.130676776691516</v>
      </c>
      <c r="J30" s="18">
        <f>已投部分年化收益率!S16/H30-1</f>
        <v>-0.20653958968331942</v>
      </c>
    </row>
    <row r="31" spans="1:28" x14ac:dyDescent="0.2">
      <c r="A31" s="110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 x14ac:dyDescent="0.2">
      <c r="A32" s="110"/>
      <c r="F32" t="s">
        <v>222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 x14ac:dyDescent="0.2">
      <c r="A33" s="110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 x14ac:dyDescent="0.2">
      <c r="A34" s="110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 x14ac:dyDescent="0.2">
      <c r="A35" s="110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 x14ac:dyDescent="0.2">
      <c r="A36" s="110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 x14ac:dyDescent="0.2">
      <c r="F37" t="s">
        <v>219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 x14ac:dyDescent="0.2">
      <c r="F38" t="s">
        <v>234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 x14ac:dyDescent="0.2">
      <c r="F39" t="s">
        <v>7424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 x14ac:dyDescent="0.2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5" workbookViewId="0">
      <selection activeCell="B39" sqref="B39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9"/>
      <c r="B2" s="89" t="str">
        <f>组合权益类行业占比!K1</f>
        <v>能源</v>
      </c>
      <c r="C2" s="89" t="str">
        <f>组合权益类行业占比!L1</f>
        <v>原材料</v>
      </c>
      <c r="D2" s="89" t="str">
        <f>组合权益类行业占比!M1</f>
        <v>工业</v>
      </c>
      <c r="E2" s="89" t="str">
        <f>组合权益类行业占比!N1</f>
        <v>可选消费</v>
      </c>
      <c r="F2" s="89" t="str">
        <f>组合权益类行业占比!O1</f>
        <v>主要消费</v>
      </c>
      <c r="G2" s="89" t="str">
        <f>组合权益类行业占比!P1</f>
        <v>医药卫生</v>
      </c>
      <c r="H2" s="89" t="str">
        <f>组合权益类行业占比!Q1</f>
        <v>金融地产</v>
      </c>
      <c r="I2" s="89" t="str">
        <f>组合权益类行业占比!R1</f>
        <v>信息技术</v>
      </c>
      <c r="J2" s="89" t="str">
        <f>组合权益类行业占比!S1</f>
        <v>电信业务</v>
      </c>
      <c r="K2" s="89" t="str">
        <f>组合权益类行业占比!T1</f>
        <v>公用事业</v>
      </c>
    </row>
    <row r="3" spans="1:12" x14ac:dyDescent="0.2">
      <c r="A3" s="89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 x14ac:dyDescent="0.2">
      <c r="A4" s="93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 x14ac:dyDescent="0.2">
      <c r="A5" s="89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 x14ac:dyDescent="0.2">
      <c r="A6" s="89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 x14ac:dyDescent="0.2">
      <c r="A7" s="89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 x14ac:dyDescent="0.2">
      <c r="A8" s="89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 x14ac:dyDescent="0.2">
      <c r="A9" s="89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89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89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89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89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89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 x14ac:dyDescent="0.2">
      <c r="A15" s="89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9" customFormat="1" x14ac:dyDescent="0.2">
      <c r="A17" s="89" t="s">
        <v>7395</v>
      </c>
      <c r="B17" s="89" t="s">
        <v>7396</v>
      </c>
      <c r="C17" s="89" t="s">
        <v>7396</v>
      </c>
      <c r="D17" s="89" t="s">
        <v>7396</v>
      </c>
      <c r="E17" s="89" t="s">
        <v>7397</v>
      </c>
      <c r="F17" s="89" t="s">
        <v>7397</v>
      </c>
      <c r="G17" s="89" t="s">
        <v>7397</v>
      </c>
      <c r="H17" s="89" t="s">
        <v>246</v>
      </c>
      <c r="I17" s="89" t="s">
        <v>246</v>
      </c>
      <c r="J17" s="89" t="s">
        <v>246</v>
      </c>
      <c r="K17" s="89" t="s">
        <v>247</v>
      </c>
      <c r="L17" s="89" t="s">
        <v>247</v>
      </c>
      <c r="M17" s="89" t="s">
        <v>247</v>
      </c>
      <c r="N17" s="89" t="s">
        <v>3844</v>
      </c>
      <c r="O17" s="89" t="s">
        <v>3844</v>
      </c>
      <c r="P17" s="89" t="s">
        <v>3844</v>
      </c>
      <c r="Q17" s="89" t="s">
        <v>249</v>
      </c>
      <c r="R17" s="89" t="s">
        <v>249</v>
      </c>
      <c r="S17" s="89" t="s">
        <v>249</v>
      </c>
      <c r="T17" s="89" t="s">
        <v>7398</v>
      </c>
      <c r="U17" s="89" t="s">
        <v>7398</v>
      </c>
      <c r="V17" s="89" t="s">
        <v>7398</v>
      </c>
      <c r="W17" s="89" t="s">
        <v>250</v>
      </c>
      <c r="X17" s="89" t="s">
        <v>250</v>
      </c>
      <c r="Y17" s="89" t="s">
        <v>250</v>
      </c>
      <c r="Z17" s="89" t="s">
        <v>251</v>
      </c>
      <c r="AA17" s="89" t="s">
        <v>251</v>
      </c>
      <c r="AB17" s="89" t="s">
        <v>251</v>
      </c>
    </row>
    <row r="18" spans="1:28" x14ac:dyDescent="0.2">
      <c r="A18" s="3">
        <v>38544</v>
      </c>
      <c r="B18" s="89">
        <v>35</v>
      </c>
      <c r="C18" s="89">
        <v>11.93</v>
      </c>
      <c r="D18" s="89">
        <v>1.4</v>
      </c>
      <c r="E18" s="89">
        <v>271</v>
      </c>
      <c r="F18" s="89">
        <v>14.65</v>
      </c>
      <c r="G18" s="89">
        <v>1.2</v>
      </c>
      <c r="H18" s="89">
        <v>308</v>
      </c>
      <c r="I18" s="89">
        <v>21.23</v>
      </c>
      <c r="J18" s="89">
        <v>1.42</v>
      </c>
      <c r="K18" s="89">
        <v>262</v>
      </c>
      <c r="L18" s="89">
        <v>22.67</v>
      </c>
      <c r="M18" s="89">
        <v>1.34</v>
      </c>
      <c r="N18" s="89">
        <v>118</v>
      </c>
      <c r="O18" s="89">
        <v>26.35</v>
      </c>
      <c r="P18" s="89">
        <v>1.36</v>
      </c>
      <c r="Q18" s="89">
        <v>107</v>
      </c>
      <c r="R18" s="89">
        <v>24.93</v>
      </c>
      <c r="S18" s="89">
        <v>1.49</v>
      </c>
      <c r="T18" s="89">
        <v>100</v>
      </c>
      <c r="U18" s="89">
        <v>18.829999999999998</v>
      </c>
      <c r="V18" s="89">
        <v>1.38</v>
      </c>
      <c r="W18" s="89">
        <v>122</v>
      </c>
      <c r="X18" s="89">
        <v>25.95</v>
      </c>
      <c r="Y18" s="89">
        <v>1.47</v>
      </c>
      <c r="Z18" s="89">
        <v>63</v>
      </c>
      <c r="AA18" s="89">
        <v>19.89</v>
      </c>
      <c r="AB18" s="89">
        <v>1.33</v>
      </c>
    </row>
    <row r="19" spans="1:28" x14ac:dyDescent="0.2">
      <c r="A19" s="3">
        <v>39748</v>
      </c>
      <c r="B19" s="89">
        <v>42</v>
      </c>
      <c r="C19" s="89">
        <v>10.64</v>
      </c>
      <c r="D19" s="89">
        <v>1.92</v>
      </c>
      <c r="E19" s="89">
        <v>320</v>
      </c>
      <c r="F19" s="89">
        <v>9.81</v>
      </c>
      <c r="G19" s="89">
        <v>1.34</v>
      </c>
      <c r="H19" s="89">
        <v>388</v>
      </c>
      <c r="I19" s="89">
        <v>15.36</v>
      </c>
      <c r="J19" s="89">
        <v>1.65</v>
      </c>
      <c r="K19" s="89">
        <v>278</v>
      </c>
      <c r="L19" s="89">
        <v>12.86</v>
      </c>
      <c r="M19" s="89">
        <v>1.54</v>
      </c>
      <c r="N19" s="89">
        <v>117</v>
      </c>
      <c r="O19" s="89">
        <v>23.61</v>
      </c>
      <c r="P19" s="89">
        <v>1.95</v>
      </c>
      <c r="Q19" s="89">
        <v>118</v>
      </c>
      <c r="R19" s="89">
        <v>19.39</v>
      </c>
      <c r="S19" s="89">
        <v>2.09</v>
      </c>
      <c r="T19" s="89">
        <v>142</v>
      </c>
      <c r="U19" s="89">
        <v>13.4</v>
      </c>
      <c r="V19" s="89">
        <v>1.68</v>
      </c>
      <c r="W19" s="89">
        <v>155</v>
      </c>
      <c r="X19" s="89">
        <v>12.48</v>
      </c>
      <c r="Y19" s="89">
        <v>1.56</v>
      </c>
      <c r="Z19" s="89">
        <v>67</v>
      </c>
      <c r="AA19" s="89">
        <v>20.48</v>
      </c>
      <c r="AB19" s="89">
        <v>1.36</v>
      </c>
    </row>
    <row r="20" spans="1:28" x14ac:dyDescent="0.2">
      <c r="A20" s="3">
        <v>41240</v>
      </c>
      <c r="B20" s="89">
        <v>65</v>
      </c>
      <c r="C20" s="89">
        <v>20.45</v>
      </c>
      <c r="D20" s="89">
        <v>2</v>
      </c>
      <c r="E20" s="89">
        <v>454</v>
      </c>
      <c r="F20" s="89">
        <v>23.49</v>
      </c>
      <c r="G20" s="89">
        <v>1.76</v>
      </c>
      <c r="H20" s="89">
        <v>637</v>
      </c>
      <c r="I20" s="89">
        <v>22.35</v>
      </c>
      <c r="J20" s="89">
        <v>1.78</v>
      </c>
      <c r="K20" s="89">
        <v>407</v>
      </c>
      <c r="L20" s="89">
        <v>21.28</v>
      </c>
      <c r="M20" s="89">
        <v>1.87</v>
      </c>
      <c r="N20" s="89">
        <v>166</v>
      </c>
      <c r="O20" s="89">
        <v>26.39</v>
      </c>
      <c r="P20" s="89">
        <v>2.4700000000000002</v>
      </c>
      <c r="Q20" s="89">
        <v>181</v>
      </c>
      <c r="R20" s="89">
        <v>30.04</v>
      </c>
      <c r="S20" s="89">
        <v>2.78</v>
      </c>
      <c r="T20" s="89">
        <v>198</v>
      </c>
      <c r="U20" s="89">
        <v>15.54</v>
      </c>
      <c r="V20" s="89">
        <v>1.86</v>
      </c>
      <c r="W20" s="89">
        <v>334</v>
      </c>
      <c r="X20" s="89">
        <v>28.21</v>
      </c>
      <c r="Y20" s="89">
        <v>2.12</v>
      </c>
      <c r="Z20" s="89">
        <v>74</v>
      </c>
      <c r="AA20" s="89">
        <v>21.37</v>
      </c>
      <c r="AB20" s="89">
        <v>1.76</v>
      </c>
    </row>
    <row r="21" spans="1:28" s="89" customFormat="1" x14ac:dyDescent="0.2">
      <c r="A21" s="14">
        <v>43495</v>
      </c>
      <c r="B21" s="94">
        <v>75</v>
      </c>
      <c r="C21" s="94">
        <v>14.24</v>
      </c>
      <c r="D21" s="94">
        <v>1.21</v>
      </c>
      <c r="E21" s="94">
        <v>565</v>
      </c>
      <c r="F21" s="94">
        <v>17.62</v>
      </c>
      <c r="G21" s="94">
        <v>1.72</v>
      </c>
      <c r="H21" s="94">
        <v>968</v>
      </c>
      <c r="I21" s="94">
        <v>22.45</v>
      </c>
      <c r="J21" s="94">
        <v>1.74</v>
      </c>
      <c r="K21" s="94">
        <v>598</v>
      </c>
      <c r="L21" s="94">
        <v>19.09</v>
      </c>
      <c r="M21" s="94">
        <v>1.59</v>
      </c>
      <c r="N21" s="94">
        <v>223</v>
      </c>
      <c r="O21" s="94">
        <v>25.48</v>
      </c>
      <c r="P21" s="94">
        <v>2</v>
      </c>
      <c r="Q21" s="94">
        <v>295</v>
      </c>
      <c r="R21" s="94">
        <v>22.84</v>
      </c>
      <c r="S21" s="94">
        <v>2.1</v>
      </c>
      <c r="T21" s="94">
        <v>235</v>
      </c>
      <c r="U21" s="94">
        <v>11.7</v>
      </c>
      <c r="V21" s="94">
        <v>1.18</v>
      </c>
      <c r="W21" s="94">
        <v>593</v>
      </c>
      <c r="X21" s="94">
        <v>30.14</v>
      </c>
      <c r="Y21" s="94">
        <v>2.2599999999999998</v>
      </c>
      <c r="Z21" s="94">
        <v>109</v>
      </c>
      <c r="AA21" s="94">
        <v>20.32</v>
      </c>
      <c r="AB21" s="94">
        <v>1.25</v>
      </c>
    </row>
    <row r="22" spans="1:28" x14ac:dyDescent="0.2">
      <c r="A22" s="89" t="s">
        <v>7399</v>
      </c>
      <c r="B22" s="89"/>
      <c r="C22" s="60">
        <f>IF(C19/C21-1&gt;0,0,C19/C21-1)</f>
        <v>-0.2528089887640449</v>
      </c>
      <c r="D22" s="60">
        <f>IF(D19/D21-1&gt;0,0,D19/D21-1)</f>
        <v>0</v>
      </c>
      <c r="E22" s="89"/>
      <c r="F22" s="60">
        <f>IF(F19/F21-1&gt;0,0,F19/F21-1)</f>
        <v>-0.44324631101021572</v>
      </c>
      <c r="G22" s="60">
        <f>IF(G19/G21-1&gt;0,0,G19/G21-1)</f>
        <v>-0.22093023255813948</v>
      </c>
      <c r="H22" s="89"/>
      <c r="I22" s="60">
        <f t="shared" ref="I22:J22" si="0">IF(I19/I21-1&gt;0,0,I19/I21-1)</f>
        <v>-0.3158129175946548</v>
      </c>
      <c r="J22" s="60">
        <f t="shared" si="0"/>
        <v>-5.1724137931034475E-2</v>
      </c>
      <c r="K22" s="89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9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9"/>
      <c r="R22" s="60">
        <f t="shared" ref="R22:S22" si="3">IF(R19/R21-1&gt;0,0,R19/R21-1)</f>
        <v>-0.15105078809106831</v>
      </c>
      <c r="S22" s="60">
        <f t="shared" si="3"/>
        <v>-4.761904761904856E-3</v>
      </c>
      <c r="T22" s="89"/>
      <c r="U22" s="60">
        <f t="shared" ref="U22:V22" si="4">IF(U19/U21-1&gt;0,0,U19/U21-1)</f>
        <v>0</v>
      </c>
      <c r="V22" s="60">
        <f t="shared" si="4"/>
        <v>0</v>
      </c>
      <c r="W22" s="89"/>
      <c r="X22" s="60">
        <f t="shared" ref="X22:Y22" si="5">IF(X19/X21-1&gt;0,0,X19/X21-1)</f>
        <v>-0.58593231585932315</v>
      </c>
      <c r="Y22" s="60">
        <f t="shared" si="5"/>
        <v>-0.30973451327433621</v>
      </c>
      <c r="Z22" s="89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9" t="s">
        <v>7401</v>
      </c>
      <c r="B25" s="89" t="str">
        <f>组合权益类行业占比!K1</f>
        <v>能源</v>
      </c>
      <c r="C25" s="89" t="str">
        <f>组合权益类行业占比!L1</f>
        <v>原材料</v>
      </c>
      <c r="D25" s="89" t="str">
        <f>组合权益类行业占比!M1</f>
        <v>工业</v>
      </c>
      <c r="E25" s="89" t="str">
        <f>组合权益类行业占比!N1</f>
        <v>可选消费</v>
      </c>
      <c r="F25" s="89" t="str">
        <f>组合权益类行业占比!O1</f>
        <v>主要消费</v>
      </c>
      <c r="G25" s="89" t="str">
        <f>组合权益类行业占比!P1</f>
        <v>医药卫生</v>
      </c>
      <c r="H25" s="89" t="str">
        <f>组合权益类行业占比!Q1</f>
        <v>金融地产</v>
      </c>
      <c r="I25" s="89" t="str">
        <f>组合权益类行业占比!R1</f>
        <v>信息技术</v>
      </c>
      <c r="J25" s="89" t="str">
        <f>组合权益类行业占比!S1</f>
        <v>电信业务</v>
      </c>
      <c r="K25" s="89" t="str">
        <f>组合权益类行业占比!T1</f>
        <v>公用事业</v>
      </c>
      <c r="L25" t="s">
        <v>7400</v>
      </c>
      <c r="M25" s="89" t="s">
        <v>7402</v>
      </c>
      <c r="N25" s="89" t="s">
        <v>7403</v>
      </c>
      <c r="O25" s="89" t="s">
        <v>7404</v>
      </c>
      <c r="P25" s="89" t="s">
        <v>7405</v>
      </c>
    </row>
    <row r="26" spans="1:28" ht="12.75" customHeight="1" x14ac:dyDescent="0.2">
      <c r="A26" s="89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6">
        <v>4024.08</v>
      </c>
      <c r="N26" s="98">
        <f>M26*(1+L26)</f>
        <v>3825.0253072459254</v>
      </c>
      <c r="O26" s="88">
        <f>资产配置表!C3</f>
        <v>8.2900000000000001E-2</v>
      </c>
      <c r="P26" s="60">
        <f>O26*(1+L26)</f>
        <v>7.8799277840074566E-2</v>
      </c>
    </row>
    <row r="27" spans="1:28" ht="12.75" customHeight="1" x14ac:dyDescent="0.2">
      <c r="A27" s="93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6">
        <v>2591.84</v>
      </c>
      <c r="N27" s="98">
        <f>M27*(1+L27)</f>
        <v>2467.9625616687326</v>
      </c>
      <c r="O27" s="95">
        <f>资产配置表!C4</f>
        <v>8.0543625000000004E-3</v>
      </c>
      <c r="P27" s="60">
        <f>O27*(1+L27)</f>
        <v>7.6694028597863208E-3</v>
      </c>
    </row>
    <row r="28" spans="1:28" x14ac:dyDescent="0.2">
      <c r="A28" s="89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6">
        <v>2477.44</v>
      </c>
      <c r="N28" s="98">
        <f t="shared" ref="N28:N38" si="18">M28*(1+L28)</f>
        <v>2418.0825862152774</v>
      </c>
      <c r="O28" s="88">
        <f>资产配置表!C4</f>
        <v>8.0543625000000004E-3</v>
      </c>
      <c r="P28" s="60">
        <f t="shared" ref="P28:P38" si="19">O28*(1+L28)</f>
        <v>7.8613866347178318E-3</v>
      </c>
    </row>
    <row r="29" spans="1:28" x14ac:dyDescent="0.2">
      <c r="A29" s="89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6">
        <v>3200.64</v>
      </c>
      <c r="N29" s="98">
        <f t="shared" si="18"/>
        <v>3027.8450430610055</v>
      </c>
      <c r="O29" s="88">
        <f>资产配置表!C5</f>
        <v>5.5856999999999997E-2</v>
      </c>
      <c r="P29" s="60">
        <f t="shared" si="19"/>
        <v>5.2841413145576693E-2</v>
      </c>
    </row>
    <row r="30" spans="1:28" x14ac:dyDescent="0.2">
      <c r="A30" s="89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6">
        <v>4205.04</v>
      </c>
      <c r="N30" s="98">
        <f t="shared" si="18"/>
        <v>3739.4251978471725</v>
      </c>
      <c r="O30" s="88">
        <f>资产配置表!C6</f>
        <v>0.23511088749999998</v>
      </c>
      <c r="P30" s="60">
        <f t="shared" si="19"/>
        <v>0.20907757762249865</v>
      </c>
    </row>
    <row r="31" spans="1:28" x14ac:dyDescent="0.2">
      <c r="A31" s="89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6">
        <v>4407.9399999999996</v>
      </c>
      <c r="N31" s="98">
        <f t="shared" si="18"/>
        <v>3865.9704561898125</v>
      </c>
      <c r="O31" s="88">
        <f>资产配置表!C7</f>
        <v>4.9623162499999998E-2</v>
      </c>
      <c r="P31" s="60">
        <f t="shared" si="19"/>
        <v>4.3521844709253348E-2</v>
      </c>
    </row>
    <row r="32" spans="1:28" x14ac:dyDescent="0.2">
      <c r="A32" s="89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6">
        <v>5153.53</v>
      </c>
      <c r="N32" s="98">
        <f t="shared" si="18"/>
        <v>5150.472620354667</v>
      </c>
      <c r="O32" s="88">
        <f>资产配置表!C12</f>
        <v>1.6E-2</v>
      </c>
      <c r="P32" s="60">
        <f t="shared" si="19"/>
        <v>1.5990507851060279E-2</v>
      </c>
    </row>
    <row r="33" spans="1:17" x14ac:dyDescent="0.2">
      <c r="A33" s="89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6">
        <v>590.34</v>
      </c>
      <c r="N33" s="98">
        <f t="shared" si="18"/>
        <v>590.34</v>
      </c>
      <c r="O33" s="88">
        <f>资产配置表!C11</f>
        <v>3.1965149999999998E-2</v>
      </c>
      <c r="P33" s="60">
        <f t="shared" si="19"/>
        <v>3.1965149999999998E-2</v>
      </c>
    </row>
    <row r="34" spans="1:17" x14ac:dyDescent="0.2">
      <c r="A34" s="89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6">
        <v>1079.67</v>
      </c>
      <c r="N34" s="98">
        <f t="shared" si="18"/>
        <v>924.63934521706472</v>
      </c>
      <c r="O34" s="88">
        <f>资产配置表!C14</f>
        <v>3.70254125E-2</v>
      </c>
      <c r="P34" s="60">
        <f t="shared" si="19"/>
        <v>3.1708904730511842E-2</v>
      </c>
    </row>
    <row r="35" spans="1:17" x14ac:dyDescent="0.2">
      <c r="A35" s="89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6">
        <v>7253.6</v>
      </c>
      <c r="N35" s="98">
        <f t="shared" si="18"/>
        <v>7168.96038154915</v>
      </c>
      <c r="O35" s="88">
        <f>资产配置表!C10</f>
        <v>6.1076224999999998E-2</v>
      </c>
      <c r="P35" s="60">
        <f t="shared" si="19"/>
        <v>6.0363548759179125E-2</v>
      </c>
    </row>
    <row r="36" spans="1:17" x14ac:dyDescent="0.2">
      <c r="A36" s="89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6">
        <v>6037.29</v>
      </c>
      <c r="N36" s="98">
        <f t="shared" si="18"/>
        <v>5701.5314543441973</v>
      </c>
      <c r="O36" s="88">
        <f>资产配置表!C13</f>
        <v>7.2749999999999995E-2</v>
      </c>
      <c r="P36" s="60">
        <f t="shared" si="19"/>
        <v>6.8704073069794619E-2</v>
      </c>
    </row>
    <row r="37" spans="1:17" x14ac:dyDescent="0.2">
      <c r="A37" s="89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6">
        <v>1070.72</v>
      </c>
      <c r="N37" s="98">
        <f t="shared" si="18"/>
        <v>954.65503995060783</v>
      </c>
      <c r="O37" s="88">
        <f>资产配置表!C15</f>
        <v>6.0069037499999992E-2</v>
      </c>
      <c r="P37" s="60">
        <f t="shared" si="19"/>
        <v>5.355761487070107E-2</v>
      </c>
    </row>
    <row r="38" spans="1:17" x14ac:dyDescent="0.2">
      <c r="A38" s="89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6">
        <v>1234.22</v>
      </c>
      <c r="N38" s="98">
        <f t="shared" si="18"/>
        <v>1073.2657630309971</v>
      </c>
      <c r="O38" s="88">
        <f>资产配置表!C8</f>
        <v>2.4085612499999999E-2</v>
      </c>
      <c r="P38" s="60">
        <f t="shared" si="19"/>
        <v>2.0944615447717117E-2</v>
      </c>
    </row>
    <row r="39" spans="1:17" x14ac:dyDescent="0.2">
      <c r="A39" s="108" t="s">
        <v>7545</v>
      </c>
      <c r="M39" s="96"/>
      <c r="O39" s="88">
        <f>1-SUM(O26:O38)</f>
        <v>0.25742878750000009</v>
      </c>
      <c r="P39" s="60">
        <f>O39</f>
        <v>0.25742878750000009</v>
      </c>
    </row>
    <row r="40" spans="1:17" x14ac:dyDescent="0.2">
      <c r="M40" s="96"/>
      <c r="O40" s="88">
        <f>SUM(O26:O39)</f>
        <v>1</v>
      </c>
      <c r="P40" s="88">
        <f>SUM(P26:P39)</f>
        <v>0.94043410504087155</v>
      </c>
    </row>
    <row r="41" spans="1:17" x14ac:dyDescent="0.2">
      <c r="M41" s="96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40"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7" t="s">
        <v>7380</v>
      </c>
      <c r="J1" s="76" t="s">
        <v>225</v>
      </c>
      <c r="K1" s="87" t="s">
        <v>7379</v>
      </c>
      <c r="L1" s="76" t="s">
        <v>226</v>
      </c>
      <c r="M1" s="76" t="s">
        <v>227</v>
      </c>
      <c r="N1" s="87" t="s">
        <v>7377</v>
      </c>
      <c r="O1" s="87" t="s">
        <v>7374</v>
      </c>
      <c r="P1" s="87" t="s">
        <v>7375</v>
      </c>
      <c r="Q1" s="87" t="s">
        <v>7376</v>
      </c>
    </row>
    <row r="2" spans="1:17" x14ac:dyDescent="0.2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7">
        <v>0.75</v>
      </c>
      <c r="I2" t="s">
        <v>211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资产配置表!G30</f>
        <v>0.23511088749999998</v>
      </c>
      <c r="K4" s="18">
        <f>已投部分年化收益率!W16</f>
        <v>9.5100000000000004E-2</v>
      </c>
      <c r="L4" s="1">
        <f>资产配置表!H30</f>
        <v>20.694164178205895</v>
      </c>
      <c r="M4" s="1">
        <v>83.24</v>
      </c>
      <c r="N4" s="18">
        <f t="shared" si="0"/>
        <v>0.20671701378977736</v>
      </c>
      <c r="O4" s="18">
        <f t="shared" si="1"/>
        <v>1.011195022982962</v>
      </c>
      <c r="P4" s="18">
        <f t="shared" si="2"/>
        <v>1.815673032176147</v>
      </c>
      <c r="Q4" s="18">
        <f t="shared" si="3"/>
        <v>3.0223900459659241</v>
      </c>
    </row>
    <row r="5" spans="1:17" x14ac:dyDescent="0.2">
      <c r="B5" s="1"/>
      <c r="I5" t="s">
        <v>214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217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1.4837787760313732</v>
      </c>
      <c r="D10" s="21">
        <f>(($N$4+1)*((1+$K$4*$G$2))^D$1)</f>
        <v>1.7029881803568703</v>
      </c>
      <c r="E10" s="21">
        <f>(($N$4+1)*((1+$K$4*$G$2))^E$1)</f>
        <v>1.9545829804846073</v>
      </c>
      <c r="I10" t="s">
        <v>218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0.23511088749999998</v>
      </c>
      <c r="B11" s="1">
        <f>M4*0.5</f>
        <v>41.62</v>
      </c>
      <c r="C11" s="21">
        <f>(($O$4+1)*((1+$K$4*$G$2))^C$1)</f>
        <v>2.4729646267189551</v>
      </c>
      <c r="D11" s="21">
        <f>(($O$4+1)*((1+$K$4*$G$2))^D$1)</f>
        <v>2.838313633928117</v>
      </c>
      <c r="E11" s="21">
        <f>(($O$4+1)*((1+$K$4*$G$2))^E$1)</f>
        <v>3.2576383008076784</v>
      </c>
      <c r="I11" t="s">
        <v>219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3.4621504774065373</v>
      </c>
      <c r="D12" s="21">
        <f>(($P$4+1)*((1+$K$4*$G$2))^D$1)</f>
        <v>3.9736390874993637</v>
      </c>
      <c r="E12" s="21">
        <f>(($P$4+1)*((1+$K$4*$G$2))^E$1)</f>
        <v>4.5606936211307501</v>
      </c>
      <c r="I12" t="s">
        <v>235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280</v>
      </c>
      <c r="J13" s="18">
        <f>资产配置表!C21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资产配置表!C16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资产配置表!C17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0.1908561124999999</v>
      </c>
      <c r="K16" s="19"/>
    </row>
    <row r="17" spans="1:14" x14ac:dyDescent="0.2">
      <c r="B17" s="1"/>
    </row>
    <row r="18" spans="1:14" x14ac:dyDescent="0.2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 x14ac:dyDescent="0.2">
      <c r="L29" t="s">
        <v>7387</v>
      </c>
      <c r="M29" t="s">
        <v>7391</v>
      </c>
      <c r="N29" t="s">
        <v>7388</v>
      </c>
    </row>
    <row r="30" spans="1:14" x14ac:dyDescent="0.2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 x14ac:dyDescent="0.2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0.1908561124999999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6" t="s">
        <v>236</v>
      </c>
      <c r="D63" s="76" t="s">
        <v>237</v>
      </c>
      <c r="E63" s="76" t="s">
        <v>238</v>
      </c>
    </row>
    <row r="64" spans="1:5" x14ac:dyDescent="0.2">
      <c r="A64" t="s">
        <v>230</v>
      </c>
      <c r="B64" s="77" t="s">
        <v>231</v>
      </c>
      <c r="C64" s="91">
        <f>(C2*$A$3+C6*$A$7+C10*$A$11+C14*$A$15+C18*$A$19+C22*$A$23+C26*$A$27+C30*$A$31+C34*$A$35+C38*$A$39+C42*$A$43+C46*$A$47+C50*$A$51+C54*$A$55+C58*$A$59)^(1/$C$1)-1</f>
        <v>6.4395533104935287E-2</v>
      </c>
      <c r="D64" s="91">
        <f>(D2*$A$3+D6*$A$7+D10*$A$11+D14*$A$15+D18*$A$19+D22*$A$23+D26*$A$27+D30*$A$31+D34*$A$35+D38*$A$39+D42*$A$43+D46*$A$47+D50*$A$51+D54*$A$55+D58*$A$59)^(1/$D$1)-1</f>
        <v>6.459709617708409E-2</v>
      </c>
      <c r="E64" s="91">
        <f>(E2*$A$3+E6*$A$7+E10*$A$11+E14*$A$15+E18*$A$19+E22*$A$23+E26*$A$27+E30*$A$31+E34*$A$35+E38*$A$39+E42*$A$43+E46*$A$47+E50*$A$51+E54*$A$55+E58*$A$59)^(1/$E$1)-1</f>
        <v>6.4903259750234588E-2</v>
      </c>
    </row>
    <row r="65" spans="2:5" x14ac:dyDescent="0.2">
      <c r="B65" s="77" t="s">
        <v>232</v>
      </c>
      <c r="C65" s="90">
        <f>(C3*$A$3+C7*$A$7+C11*$A$11+C15*$A$15+C19*$A$19+C23*$A$23+C27*$A$27+C31*$A$31+C35*$A$35+C39*$A$39+C43*$A$43+C47*$A$47+C51*$A$51+C55*$A$55+C59*$A$59)^(1/$C$1)-1</f>
        <v>0.21741952493676808</v>
      </c>
      <c r="D65" s="92">
        <f>(D3*$A$3+D7*$A$7+D11*$A$11+D15*$A$15+D19*$A$19+D23*$A$23+D27*$A$27+D31*$A$31+D35*$A$35+D39*$A$39+D43*$A$43+D47*$A$47+D51*$A$51+D55*$A$55+D59*$A$59)^(1/$D$1)-1</f>
        <v>0.15605181891237407</v>
      </c>
      <c r="E65" s="91">
        <f>(E3*$A$3+E7*$A$7+E11*$A$11+E15*$A$15+E19*$A$19+E23*$A$23+E27*$A$27+E31*$A$31+E35*$A$35+E39*$A$39+E43*$A$43+E47*$A$47+E51*$A$51+E55*$A$55+E59*$A$59)^(1/$E$1)-1</f>
        <v>0.13042816614648389</v>
      </c>
    </row>
    <row r="66" spans="2:5" x14ac:dyDescent="0.2">
      <c r="B66" s="76" t="s">
        <v>233</v>
      </c>
      <c r="C66" s="90">
        <f>(C4*$A$3+C8*$A$7+C12*$A$11+C16*$A$15+C20*$A$19+C24*$A$23+C28*$A$27+C32*$A$31+C36*$A$35+C40*$A$39+C44*$A$43+C48*$A$47+C52*$A$51+C56*$A$55+C60*$A$59)^(1/$C$1)-1</f>
        <v>0.33938749131297952</v>
      </c>
      <c r="D66" s="90">
        <f>(D4*$A$3+D8*$A$7+D12*$A$11+D16*$A$15+D20*$A$19+D24*$A$23+D28*$A$27+D32*$A$31+D36*$A$35+D40*$A$39+D44*$A$43+D48*$A$47+D52*$A$51+D56*$A$55+D60*$A$59)^(1/$D$1)-1</f>
        <v>0.22476251075392728</v>
      </c>
      <c r="E66" s="90">
        <f>(E4*$A$3+E8*$A$7+E12*$A$11+E16*$A$15+E20*$A$19+E24*$A$23+E28*$A$27+E32*$A$31+E36*$A$35+E40*$A$39+E44*$A$43+E48*$A$47+E52*$A$51+E56*$A$55+E60*$A$59)^(1/$E$1)-1</f>
        <v>0.17889792286675843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9" t="s">
        <v>272</v>
      </c>
      <c r="B1" s="79" t="s">
        <v>37</v>
      </c>
      <c r="C1" s="79" t="s">
        <v>239</v>
      </c>
      <c r="D1" s="79"/>
      <c r="E1" s="79" t="s">
        <v>275</v>
      </c>
      <c r="F1" s="79" t="s">
        <v>274</v>
      </c>
      <c r="G1" s="79" t="s">
        <v>273</v>
      </c>
      <c r="H1" s="79" t="s">
        <v>276</v>
      </c>
      <c r="K1" s="81" t="s">
        <v>245</v>
      </c>
      <c r="L1" s="81" t="s">
        <v>244</v>
      </c>
      <c r="M1" s="81" t="s">
        <v>246</v>
      </c>
      <c r="N1" s="81" t="s">
        <v>247</v>
      </c>
      <c r="O1" s="81" t="s">
        <v>248</v>
      </c>
      <c r="P1" s="81" t="s">
        <v>249</v>
      </c>
      <c r="Q1" s="81" t="s">
        <v>219</v>
      </c>
      <c r="R1" s="81" t="s">
        <v>250</v>
      </c>
      <c r="S1" s="81" t="s">
        <v>253</v>
      </c>
      <c r="T1" s="81" t="s">
        <v>251</v>
      </c>
    </row>
    <row r="2" spans="1:20" x14ac:dyDescent="0.2">
      <c r="A2" s="25" t="s">
        <v>57</v>
      </c>
      <c r="B2" s="82">
        <f>已投部分年化收益率!Z13</f>
        <v>8.2900000000000001E-2</v>
      </c>
      <c r="C2" s="83" t="s">
        <v>240</v>
      </c>
      <c r="D2" s="83"/>
      <c r="E2" s="79" t="s">
        <v>245</v>
      </c>
      <c r="F2" s="80">
        <f>$B$2*K$2+$B$3*K$4+$B$4*K$5+$B$5*K$6+$B$6*K$7+$B$7*K$8+$B$8*K$9+$B$9*K$10+$B$10*K$11+$B$11*K$12+$B$12*K$13+$B13*$K$14</f>
        <v>1.220689201375E-2</v>
      </c>
      <c r="G2" s="80">
        <f>$B$16*K$2+$B$17*K$4+$B$18*K$5+$B$19*K$6+$B$20*K$7+$B$21*K$8+$B$22*K$9+$B$23*K$10+$B$24*K$11+$B$25*K$12+$B$26*K$13+$B$27*K$14</f>
        <v>1.1553480000000001E-2</v>
      </c>
      <c r="H2" s="78">
        <f>F2-G2</f>
        <v>6.5341201374999845E-4</v>
      </c>
      <c r="J2" s="81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9" t="s">
        <v>43</v>
      </c>
      <c r="B3" s="82">
        <f>已投部分年化收益率!Z14</f>
        <v>8.0543625000000004E-3</v>
      </c>
      <c r="C3" s="83" t="s">
        <v>241</v>
      </c>
      <c r="D3" s="83"/>
      <c r="E3" s="79" t="s">
        <v>244</v>
      </c>
      <c r="F3" s="80">
        <f>$B$2*L$2+$B$3*L$4+$B$4*L$5+$B$5*L$6+$B$6*L$7+$B$7*L$8+$B$8*L$9+$B$9*L$10+$B$10*L$11+$B$11*L$12+$B$12*L$13+$B13*$L$14</f>
        <v>6.7520429122499989E-2</v>
      </c>
      <c r="G3" s="80">
        <f>$B$16*L$2+$B$17*L$4+$B$18*L$5+$B$19*L$6+$B$20*L$7+$B$21*L$8+$B$22*L$9+$B$23*L$10+$B$24*L$11+$B$25*L$12+$B$26*L$13+$B$27*L$14</f>
        <v>5.0700240000000001E-2</v>
      </c>
      <c r="H3" s="78">
        <f t="shared" ref="H3:H11" si="0">F3-G3</f>
        <v>1.6820189122499989E-2</v>
      </c>
      <c r="J3" s="93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9" t="s">
        <v>39</v>
      </c>
      <c r="B4" s="82">
        <f>已投部分年化收益率!Z15</f>
        <v>5.5856999999999997E-2</v>
      </c>
      <c r="C4" s="83" t="s">
        <v>242</v>
      </c>
      <c r="D4" s="83"/>
      <c r="E4" s="79" t="s">
        <v>246</v>
      </c>
      <c r="F4" s="80">
        <f>$B$2*M$2+$B$3*M$4+$B$4*M$5+$B$5*M$6+$B$6*M$7+$B$7*M$8+$B$8*M$9+$B$9*M$10+$B$10*M$11+$B$11*M$12+$B$12*M$13+$B13*$M$14</f>
        <v>0.11736301202749999</v>
      </c>
      <c r="G4" s="80">
        <f>$B$16*M$2+$B$17*M$4+$B$18*M$5+$B$19*M$6+$B$20*M$7+$B$21*M$8+$B$22*M$9+$B$23*M$10+$B$24*M$11+$B$25*M$12+$B$26*M$13+$B$27*M$14</f>
        <v>9.9324820000000008E-2</v>
      </c>
      <c r="H4" s="78">
        <f t="shared" si="0"/>
        <v>1.8038192027499983E-2</v>
      </c>
      <c r="J4" s="81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9" t="s">
        <v>18</v>
      </c>
      <c r="B5" s="82">
        <f>已投部分年化收益率!Z16</f>
        <v>0.23511088749999998</v>
      </c>
      <c r="C5" s="83" t="s">
        <v>243</v>
      </c>
      <c r="D5" s="83"/>
      <c r="E5" s="79" t="s">
        <v>247</v>
      </c>
      <c r="F5" s="80">
        <f>$B$2*N$2+$B$3*N$4+$B$4*N$5+$B$5*N$6+$B$6*N$7+$B$7*N$8+$B$8*N$9+$B$9*N$10+$B$10*N$11+$B$11*N$12+$B$12*N$13+$B13*$N$14</f>
        <v>8.3287280483750017E-2</v>
      </c>
      <c r="G5" s="80">
        <f>$B$16*N$2+$B$17*N$4+$B$18*N$5+$B$19*N$6+$B$20*N$7+$B$21*N$8+$B$22*N$9+$B$23*N$10+$B$24*N$11+$B$25*N$12+$B$26*N$13+$B$27*N$14</f>
        <v>7.2013609999999992E-2</v>
      </c>
      <c r="H5" s="78">
        <f t="shared" si="0"/>
        <v>1.1273670483750026E-2</v>
      </c>
      <c r="J5" s="81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9" t="s">
        <v>19</v>
      </c>
      <c r="B6" s="82">
        <f>已投部分年化收益率!Z17</f>
        <v>4.9623162499999998E-2</v>
      </c>
      <c r="C6" s="83" t="s">
        <v>257</v>
      </c>
      <c r="D6" s="83"/>
      <c r="E6" s="79" t="s">
        <v>248</v>
      </c>
      <c r="F6" s="80">
        <f>$B$2*O$2+$B$3*O$4+$B$4*O$5+$B$5*O$6+$B$6*O$7+$B$7*O$8+$B$8*O$9+$B$9*O$10+$B$10*O$11+$B$11*O$12+$B$12*O$13+$B13*$O$14</f>
        <v>4.84095227075E-2</v>
      </c>
      <c r="G6" s="80">
        <f>$B$16*O$2+$B$17*O$4+$B$18*O$5+$B$19*O$6+$B$20*O$7+$B$21*O$8+$B$22*O$9+$B$23*O$10+$B$24*O$11+$B$25*O$12+$B$26*O$13+$B$27*O$14</f>
        <v>4.4306430000000001E-2</v>
      </c>
      <c r="H6" s="78">
        <f t="shared" si="0"/>
        <v>4.1030927074999987E-3</v>
      </c>
      <c r="J6" s="81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9" t="s">
        <v>67</v>
      </c>
      <c r="B7" s="82">
        <f>已投部分年化收益率!Z19</f>
        <v>6.1076224999999998E-2</v>
      </c>
      <c r="C7" s="83" t="s">
        <v>259</v>
      </c>
      <c r="D7" s="83"/>
      <c r="E7" s="79" t="s">
        <v>249</v>
      </c>
      <c r="F7" s="80">
        <f>$B$2*P$2+$B$3*P$4+$B$4*P$5+$B$5*P$6+$B$6*P$7+$B$7*P$8+$B$8*P$9+$B$9*P$10+$B$10*P$11+$B$11*P$12+$B$12*P$13+$B13*$P$14</f>
        <v>0.11272951960249999</v>
      </c>
      <c r="G7" s="80">
        <f>$B$16*P$2+$B$17*P$4+$B$18*P$5+$B$19*P$6+$B$20*P$7+$B$21*P$8+$B$22*P$9+$B$23*P$10+$B$24*P$11+$B$25*P$12+$B$26*P$13+$B$27*P$14</f>
        <v>9.7995540000000006E-2</v>
      </c>
      <c r="H7" s="78">
        <f t="shared" si="0"/>
        <v>1.4733979602499989E-2</v>
      </c>
      <c r="J7" s="81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82">
        <f>已投部分年化收益率!Z22</f>
        <v>3.1965149999999998E-2</v>
      </c>
      <c r="C8" s="83" t="s">
        <v>261</v>
      </c>
      <c r="D8" s="83"/>
      <c r="E8" s="79" t="s">
        <v>219</v>
      </c>
      <c r="F8" s="80">
        <f>$B$2*Q$2+$B$3*Q$4+$B$4*Q$5+$B$5*Q$6+$B$6*Q$7+$B$7*Q$8+$B$8*Q$9+$B$9*Q$10+$B$10*Q$11+$B$11*Q$12+$B$12*Q$13+$B13*$Q$14</f>
        <v>0.172646949355</v>
      </c>
      <c r="G8" s="80">
        <f>$B$16*Q$2+$B$17*Q$4+$B$18*Q$5+$B$19*Q$6+$B$20*Q$7+$B$21*Q$8+$B$22*Q$9+$B$23*Q$10+$B$24*Q$11+$B$25*Q$12+$B$26*Q$13+$B$27*Q$14</f>
        <v>0.19678435999999999</v>
      </c>
      <c r="H8" s="78">
        <f t="shared" si="0"/>
        <v>-2.4137410644999996E-2</v>
      </c>
      <c r="J8" s="81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82">
        <f>已投部分年化收益率!Z37</f>
        <v>1.6E-2</v>
      </c>
      <c r="C9" s="83" t="s">
        <v>240</v>
      </c>
      <c r="D9" s="83"/>
      <c r="E9" s="79" t="s">
        <v>250</v>
      </c>
      <c r="F9" s="80">
        <f>$B$2*R$2+$B$3*R$4+$B$4*R$5+$B$5*R$6+$B$6*R$7+$B$7*R$8+$B$8*R$9+$B$9*R$10+$B$10*R$11+$B$11*R$12+$B$12*R$13+$B13*$R$14</f>
        <v>9.1669685391249991E-2</v>
      </c>
      <c r="G9" s="80">
        <f>$B$16*R$2+$B$17*R$4+$B$18*R$5+$B$19*R$6+$B$20*R$7+$B$21*R$8+$B$22*R$9+$B$23*R$10+$B$24*R$11+$B$25*R$12+$B$26*R$13+$B$27*R$14</f>
        <v>7.1632379999999996E-2</v>
      </c>
      <c r="H9" s="78">
        <f t="shared" si="0"/>
        <v>2.0037305391249996E-2</v>
      </c>
      <c r="J9" s="81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2">
        <f>已投部分年化收益率!Z21</f>
        <v>7.2749999999999995E-2</v>
      </c>
      <c r="C10" s="83" t="s">
        <v>264</v>
      </c>
      <c r="D10" s="83"/>
      <c r="E10" s="79" t="s">
        <v>253</v>
      </c>
      <c r="F10" s="80">
        <f>$B$2*S$2+$B$3*S$4+$B$4*S$5+$B$5*S$6+$B$6*S$7+$B$7*S$8+$B$8*S$9+$B$9*S$10+$B$10*S$11+$B$11*S$12+$B$12*S$13+$B13*$S$14</f>
        <v>1.22904205625E-3</v>
      </c>
      <c r="G10" s="80">
        <f>$B$16*S$2+$B$17*S$4+$B$18*S$5+$B$19*S$6+$B$20*S$7+$B$21*S$8+$B$22*S$9+$B$23*S$10+$B$24*S$11+$B$25*S$12+$B$26*S$13+$B$27*S$14</f>
        <v>1.51822E-3</v>
      </c>
      <c r="H10" s="78">
        <f t="shared" si="0"/>
        <v>-2.8917794375000008E-4</v>
      </c>
      <c r="J10" s="81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82">
        <f>已投部分年化收益率!Z25</f>
        <v>3.70254125E-2</v>
      </c>
      <c r="C11" s="83" t="s">
        <v>266</v>
      </c>
      <c r="D11" s="83"/>
      <c r="E11" s="79" t="s">
        <v>251</v>
      </c>
      <c r="F11" s="80">
        <f>$B$2*T$2+$B$3*T$4+$B$4*T$5+$B$5*T$6+$B$6*T$7+$B$7*T$8+$B$8*T$9+$B$9*T$10+$B$10*T$11+$B$11*T$12+$B$12*T$13+$B13*$T$14</f>
        <v>2.6863681968749997E-2</v>
      </c>
      <c r="G11" s="80">
        <f>$B$16*T$2+$B$17*T$4+$B$18*T$5+$B$19*T$6+$B$20*T$7+$B$21*T$8+$B$22*T$9+$B$23*T$10+$B$24*T$11+$B$25*T$12+$B$26*T$13+$B$27*T$14</f>
        <v>2.3739440000000001E-2</v>
      </c>
      <c r="H11" s="78">
        <f t="shared" si="0"/>
        <v>3.1242419687499967E-3</v>
      </c>
      <c r="J11" s="81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9" t="s">
        <v>36</v>
      </c>
      <c r="B12" s="82">
        <f>已投部分年化收益率!Z23</f>
        <v>6.0069037499999992E-2</v>
      </c>
      <c r="C12" s="83" t="s">
        <v>268</v>
      </c>
      <c r="D12" s="83"/>
      <c r="J12" s="81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3848</v>
      </c>
      <c r="B13" s="82">
        <f>已投部分年化收益率!Z18</f>
        <v>2.4085612499999999E-2</v>
      </c>
      <c r="C13" s="83" t="s">
        <v>3849</v>
      </c>
      <c r="J13" s="81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81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270</v>
      </c>
      <c r="B15" t="s">
        <v>271</v>
      </c>
      <c r="G15" s="79"/>
      <c r="H15" s="79"/>
    </row>
    <row r="16" spans="1:20" x14ac:dyDescent="0.2">
      <c r="A16" s="25" t="s">
        <v>57</v>
      </c>
      <c r="B16" s="18">
        <f>资产配置表!D3</f>
        <v>8.7099999999999997E-2</v>
      </c>
    </row>
    <row r="17" spans="1:26" x14ac:dyDescent="0.2">
      <c r="A17" s="79" t="s">
        <v>43</v>
      </c>
      <c r="B17" s="18">
        <f>资产配置表!D4</f>
        <v>6.0299999999999999E-2</v>
      </c>
    </row>
    <row r="18" spans="1:26" x14ac:dyDescent="0.2">
      <c r="A18" s="79" t="s">
        <v>39</v>
      </c>
      <c r="B18" s="18">
        <f>资产配置表!D5</f>
        <v>5.3600000000000002E-2</v>
      </c>
    </row>
    <row r="19" spans="1:26" x14ac:dyDescent="0.2">
      <c r="A19" s="79" t="s">
        <v>18</v>
      </c>
      <c r="B19" s="18">
        <f>资产配置表!D6</f>
        <v>0.16750000000000001</v>
      </c>
    </row>
    <row r="20" spans="1:26" x14ac:dyDescent="0.2">
      <c r="A20" s="79" t="s">
        <v>19</v>
      </c>
      <c r="B20" s="18">
        <f>资产配置表!D7</f>
        <v>0</v>
      </c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6" x14ac:dyDescent="0.2">
      <c r="A21" s="79" t="s">
        <v>67</v>
      </c>
      <c r="B21" s="18">
        <f>资产配置表!D10</f>
        <v>6.7000000000000004E-2</v>
      </c>
      <c r="L21" s="84"/>
      <c r="M21" s="84"/>
      <c r="N21" s="11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资产配置表!D11</f>
        <v>2.6800000000000001E-2</v>
      </c>
      <c r="L22" s="18"/>
      <c r="M22" s="18"/>
      <c r="N22" s="11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资产配置表!D12</f>
        <v>2.01E-2</v>
      </c>
      <c r="N23" s="11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资产配置表!D13</f>
        <v>6.7000000000000004E-2</v>
      </c>
      <c r="K24" s="18"/>
      <c r="L24" s="18"/>
      <c r="M24" s="18"/>
      <c r="N24" s="11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资产配置表!D14</f>
        <v>3.3500000000000002E-2</v>
      </c>
      <c r="K25" s="18"/>
      <c r="L25" s="18"/>
      <c r="M25" s="18"/>
      <c r="N25" s="11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9" t="s">
        <v>36</v>
      </c>
      <c r="B26" s="18">
        <f>资产配置表!D15</f>
        <v>6.0299999999999999E-2</v>
      </c>
      <c r="K26" s="18"/>
      <c r="L26" s="18"/>
      <c r="M26" s="18"/>
      <c r="N26" s="11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3851</v>
      </c>
      <c r="B27" s="19">
        <f>资产配置表!D8</f>
        <v>2.6800000000000001E-2</v>
      </c>
      <c r="K27" s="18"/>
      <c r="N27" s="11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1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1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1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1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1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1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281</v>
      </c>
      <c r="C1" t="s">
        <v>3861</v>
      </c>
      <c r="D1" t="s">
        <v>3841</v>
      </c>
      <c r="E1" t="s">
        <v>3842</v>
      </c>
      <c r="G1" s="84" t="s">
        <v>3860</v>
      </c>
      <c r="H1" s="84" t="s">
        <v>3859</v>
      </c>
      <c r="I1" t="s">
        <v>3858</v>
      </c>
    </row>
    <row r="2" spans="1:9" x14ac:dyDescent="0.2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4" t="s">
        <v>283</v>
      </c>
      <c r="H2" s="84" t="s">
        <v>245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4" t="s">
        <v>358</v>
      </c>
      <c r="H3" s="84" t="s">
        <v>3843</v>
      </c>
      <c r="I3" s="18">
        <f t="shared" si="0"/>
        <v>0.15407690209980912</v>
      </c>
    </row>
    <row r="4" spans="1:9" x14ac:dyDescent="0.2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4" t="s">
        <v>924</v>
      </c>
      <c r="H4" s="84" t="s">
        <v>246</v>
      </c>
      <c r="I4" s="18">
        <f t="shared" si="0"/>
        <v>0.26397600218161987</v>
      </c>
    </row>
    <row r="5" spans="1:9" x14ac:dyDescent="0.2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4" t="s">
        <v>1869</v>
      </c>
      <c r="H5" s="84" t="s">
        <v>3855</v>
      </c>
      <c r="I5" s="18">
        <f t="shared" si="0"/>
        <v>0.16307608399236434</v>
      </c>
    </row>
    <row r="6" spans="1:9" x14ac:dyDescent="0.2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4" t="s">
        <v>2449</v>
      </c>
      <c r="H6" s="84" t="s">
        <v>3856</v>
      </c>
      <c r="I6" s="18">
        <f t="shared" si="0"/>
        <v>6.0812653395145896E-2</v>
      </c>
    </row>
    <row r="7" spans="1:9" x14ac:dyDescent="0.2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4" t="s">
        <v>2668</v>
      </c>
      <c r="H7" s="84" t="s">
        <v>3857</v>
      </c>
      <c r="I7" s="18">
        <f t="shared" si="0"/>
        <v>8.044723206981183E-2</v>
      </c>
    </row>
    <row r="8" spans="1:9" x14ac:dyDescent="0.2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4" t="s">
        <v>3852</v>
      </c>
      <c r="H8" s="84" t="s">
        <v>3853</v>
      </c>
      <c r="I8" s="18">
        <f t="shared" si="0"/>
        <v>2.6997545677665668E-2</v>
      </c>
    </row>
    <row r="9" spans="1:9" x14ac:dyDescent="0.2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4" t="s">
        <v>3030</v>
      </c>
      <c r="H9" s="84" t="s">
        <v>250</v>
      </c>
      <c r="I9" s="18">
        <f t="shared" si="0"/>
        <v>0.16171257158440142</v>
      </c>
    </row>
    <row r="10" spans="1:9" x14ac:dyDescent="0.2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4" t="s">
        <v>3597</v>
      </c>
      <c r="H10" s="84" t="s">
        <v>3846</v>
      </c>
      <c r="I10" s="18">
        <f t="shared" si="0"/>
        <v>1.636214889555495E-3</v>
      </c>
    </row>
    <row r="11" spans="1:9" x14ac:dyDescent="0.2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4" t="s">
        <v>3603</v>
      </c>
      <c r="H11" s="84" t="s">
        <v>251</v>
      </c>
      <c r="I11" s="18">
        <f t="shared" si="0"/>
        <v>2.9724570493591493E-2</v>
      </c>
    </row>
    <row r="12" spans="1:9" x14ac:dyDescent="0.2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4" t="s">
        <v>3707</v>
      </c>
      <c r="H12" s="84" t="s">
        <v>3854</v>
      </c>
      <c r="I12" s="18">
        <f t="shared" si="0"/>
        <v>3.7087537496591216E-2</v>
      </c>
    </row>
    <row r="13" spans="1:9" x14ac:dyDescent="0.2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 x14ac:dyDescent="0.2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 x14ac:dyDescent="0.2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 x14ac:dyDescent="0.2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 x14ac:dyDescent="0.2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 x14ac:dyDescent="0.2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 x14ac:dyDescent="0.2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 x14ac:dyDescent="0.2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 x14ac:dyDescent="0.2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 x14ac:dyDescent="0.2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 x14ac:dyDescent="0.2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 x14ac:dyDescent="0.2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 x14ac:dyDescent="0.2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 x14ac:dyDescent="0.2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 x14ac:dyDescent="0.2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 x14ac:dyDescent="0.2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 x14ac:dyDescent="0.2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 x14ac:dyDescent="0.2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 x14ac:dyDescent="0.2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 x14ac:dyDescent="0.2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 x14ac:dyDescent="0.2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 x14ac:dyDescent="0.2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 x14ac:dyDescent="0.2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 x14ac:dyDescent="0.2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 x14ac:dyDescent="0.2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 x14ac:dyDescent="0.2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 x14ac:dyDescent="0.2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 x14ac:dyDescent="0.2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 x14ac:dyDescent="0.2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 x14ac:dyDescent="0.2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 x14ac:dyDescent="0.2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 x14ac:dyDescent="0.2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 x14ac:dyDescent="0.2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 x14ac:dyDescent="0.2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 x14ac:dyDescent="0.2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 x14ac:dyDescent="0.2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 x14ac:dyDescent="0.2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 x14ac:dyDescent="0.2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 x14ac:dyDescent="0.2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 x14ac:dyDescent="0.2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 x14ac:dyDescent="0.2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 x14ac:dyDescent="0.2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 x14ac:dyDescent="0.2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 x14ac:dyDescent="0.2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 x14ac:dyDescent="0.2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 x14ac:dyDescent="0.2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 x14ac:dyDescent="0.2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 x14ac:dyDescent="0.2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 x14ac:dyDescent="0.2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 x14ac:dyDescent="0.2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 x14ac:dyDescent="0.2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 x14ac:dyDescent="0.2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 x14ac:dyDescent="0.2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 x14ac:dyDescent="0.2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 x14ac:dyDescent="0.2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 x14ac:dyDescent="0.2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 x14ac:dyDescent="0.2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 x14ac:dyDescent="0.2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 x14ac:dyDescent="0.2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 x14ac:dyDescent="0.2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 x14ac:dyDescent="0.2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 x14ac:dyDescent="0.2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 x14ac:dyDescent="0.2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 x14ac:dyDescent="0.2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 x14ac:dyDescent="0.2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 x14ac:dyDescent="0.2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 x14ac:dyDescent="0.2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 x14ac:dyDescent="0.2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 x14ac:dyDescent="0.2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 x14ac:dyDescent="0.2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 x14ac:dyDescent="0.2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 x14ac:dyDescent="0.2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 x14ac:dyDescent="0.2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 x14ac:dyDescent="0.2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 x14ac:dyDescent="0.2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 x14ac:dyDescent="0.2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 x14ac:dyDescent="0.2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 x14ac:dyDescent="0.2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 x14ac:dyDescent="0.2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 x14ac:dyDescent="0.2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 x14ac:dyDescent="0.2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 x14ac:dyDescent="0.2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 x14ac:dyDescent="0.2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 x14ac:dyDescent="0.2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 x14ac:dyDescent="0.2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 x14ac:dyDescent="0.2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 x14ac:dyDescent="0.2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 x14ac:dyDescent="0.2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 x14ac:dyDescent="0.2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 x14ac:dyDescent="0.2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 x14ac:dyDescent="0.2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 x14ac:dyDescent="0.2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 x14ac:dyDescent="0.2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 x14ac:dyDescent="0.2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 x14ac:dyDescent="0.2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 x14ac:dyDescent="0.2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 x14ac:dyDescent="0.2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 x14ac:dyDescent="0.2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 x14ac:dyDescent="0.2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 x14ac:dyDescent="0.2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 x14ac:dyDescent="0.2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 x14ac:dyDescent="0.2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 x14ac:dyDescent="0.2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 x14ac:dyDescent="0.2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 x14ac:dyDescent="0.2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 x14ac:dyDescent="0.2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 x14ac:dyDescent="0.2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 x14ac:dyDescent="0.2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 x14ac:dyDescent="0.2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 x14ac:dyDescent="0.2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 x14ac:dyDescent="0.2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 x14ac:dyDescent="0.2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 x14ac:dyDescent="0.2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 x14ac:dyDescent="0.2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 x14ac:dyDescent="0.2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 x14ac:dyDescent="0.2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 x14ac:dyDescent="0.2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 x14ac:dyDescent="0.2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 x14ac:dyDescent="0.2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 x14ac:dyDescent="0.2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 x14ac:dyDescent="0.2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 x14ac:dyDescent="0.2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 x14ac:dyDescent="0.2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 x14ac:dyDescent="0.2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 x14ac:dyDescent="0.2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 x14ac:dyDescent="0.2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 x14ac:dyDescent="0.2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 x14ac:dyDescent="0.2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 x14ac:dyDescent="0.2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 x14ac:dyDescent="0.2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 x14ac:dyDescent="0.2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 x14ac:dyDescent="0.2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 x14ac:dyDescent="0.2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 x14ac:dyDescent="0.2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 x14ac:dyDescent="0.2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 x14ac:dyDescent="0.2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 x14ac:dyDescent="0.2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 x14ac:dyDescent="0.2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 x14ac:dyDescent="0.2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 x14ac:dyDescent="0.2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 x14ac:dyDescent="0.2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 x14ac:dyDescent="0.2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 x14ac:dyDescent="0.2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 x14ac:dyDescent="0.2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 x14ac:dyDescent="0.2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 x14ac:dyDescent="0.2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 x14ac:dyDescent="0.2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 x14ac:dyDescent="0.2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 x14ac:dyDescent="0.2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 x14ac:dyDescent="0.2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 x14ac:dyDescent="0.2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 x14ac:dyDescent="0.2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 x14ac:dyDescent="0.2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 x14ac:dyDescent="0.2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 x14ac:dyDescent="0.2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 x14ac:dyDescent="0.2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 x14ac:dyDescent="0.2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 x14ac:dyDescent="0.2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 x14ac:dyDescent="0.2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 x14ac:dyDescent="0.2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 x14ac:dyDescent="0.2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 x14ac:dyDescent="0.2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 x14ac:dyDescent="0.2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 x14ac:dyDescent="0.2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 x14ac:dyDescent="0.2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 x14ac:dyDescent="0.2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 x14ac:dyDescent="0.2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 x14ac:dyDescent="0.2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 x14ac:dyDescent="0.2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 x14ac:dyDescent="0.2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 x14ac:dyDescent="0.2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 x14ac:dyDescent="0.2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 x14ac:dyDescent="0.2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 x14ac:dyDescent="0.2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 x14ac:dyDescent="0.2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 x14ac:dyDescent="0.2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 x14ac:dyDescent="0.2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 x14ac:dyDescent="0.2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 x14ac:dyDescent="0.2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 x14ac:dyDescent="0.2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 x14ac:dyDescent="0.2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 x14ac:dyDescent="0.2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 x14ac:dyDescent="0.2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 x14ac:dyDescent="0.2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 x14ac:dyDescent="0.2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 x14ac:dyDescent="0.2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 x14ac:dyDescent="0.2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 x14ac:dyDescent="0.2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 x14ac:dyDescent="0.2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 x14ac:dyDescent="0.2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 x14ac:dyDescent="0.2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 x14ac:dyDescent="0.2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 x14ac:dyDescent="0.2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 x14ac:dyDescent="0.2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 x14ac:dyDescent="0.2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 x14ac:dyDescent="0.2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 x14ac:dyDescent="0.2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 x14ac:dyDescent="0.2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 x14ac:dyDescent="0.2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 x14ac:dyDescent="0.2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 x14ac:dyDescent="0.2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 x14ac:dyDescent="0.2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 x14ac:dyDescent="0.2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 x14ac:dyDescent="0.2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 x14ac:dyDescent="0.2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 x14ac:dyDescent="0.2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 x14ac:dyDescent="0.2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 x14ac:dyDescent="0.2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 x14ac:dyDescent="0.2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 x14ac:dyDescent="0.2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 x14ac:dyDescent="0.2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 x14ac:dyDescent="0.2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 x14ac:dyDescent="0.2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 x14ac:dyDescent="0.2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 x14ac:dyDescent="0.2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 x14ac:dyDescent="0.2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 x14ac:dyDescent="0.2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 x14ac:dyDescent="0.2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 x14ac:dyDescent="0.2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 x14ac:dyDescent="0.2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 x14ac:dyDescent="0.2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 x14ac:dyDescent="0.2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 x14ac:dyDescent="0.2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 x14ac:dyDescent="0.2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 x14ac:dyDescent="0.2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 x14ac:dyDescent="0.2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 x14ac:dyDescent="0.2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 x14ac:dyDescent="0.2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 x14ac:dyDescent="0.2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 x14ac:dyDescent="0.2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 x14ac:dyDescent="0.2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 x14ac:dyDescent="0.2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 x14ac:dyDescent="0.2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 x14ac:dyDescent="0.2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 x14ac:dyDescent="0.2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 x14ac:dyDescent="0.2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 x14ac:dyDescent="0.2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 x14ac:dyDescent="0.2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 x14ac:dyDescent="0.2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 x14ac:dyDescent="0.2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 x14ac:dyDescent="0.2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 x14ac:dyDescent="0.2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 x14ac:dyDescent="0.2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 x14ac:dyDescent="0.2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 x14ac:dyDescent="0.2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 x14ac:dyDescent="0.2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 x14ac:dyDescent="0.2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 x14ac:dyDescent="0.2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 x14ac:dyDescent="0.2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 x14ac:dyDescent="0.2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 x14ac:dyDescent="0.2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 x14ac:dyDescent="0.2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 x14ac:dyDescent="0.2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 x14ac:dyDescent="0.2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 x14ac:dyDescent="0.2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 x14ac:dyDescent="0.2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 x14ac:dyDescent="0.2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 x14ac:dyDescent="0.2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 x14ac:dyDescent="0.2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 x14ac:dyDescent="0.2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 x14ac:dyDescent="0.2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 x14ac:dyDescent="0.2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 x14ac:dyDescent="0.2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 x14ac:dyDescent="0.2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 x14ac:dyDescent="0.2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 x14ac:dyDescent="0.2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 x14ac:dyDescent="0.2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 x14ac:dyDescent="0.2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 x14ac:dyDescent="0.2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 x14ac:dyDescent="0.2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 x14ac:dyDescent="0.2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 x14ac:dyDescent="0.2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 x14ac:dyDescent="0.2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 x14ac:dyDescent="0.2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 x14ac:dyDescent="0.2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 x14ac:dyDescent="0.2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 x14ac:dyDescent="0.2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 x14ac:dyDescent="0.2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 x14ac:dyDescent="0.2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 x14ac:dyDescent="0.2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 x14ac:dyDescent="0.2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 x14ac:dyDescent="0.2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 x14ac:dyDescent="0.2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 x14ac:dyDescent="0.2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 x14ac:dyDescent="0.2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 x14ac:dyDescent="0.2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 x14ac:dyDescent="0.2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 x14ac:dyDescent="0.2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 x14ac:dyDescent="0.2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 x14ac:dyDescent="0.2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 x14ac:dyDescent="0.2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 x14ac:dyDescent="0.2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 x14ac:dyDescent="0.2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 x14ac:dyDescent="0.2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 x14ac:dyDescent="0.2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 x14ac:dyDescent="0.2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 x14ac:dyDescent="0.2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 x14ac:dyDescent="0.2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 x14ac:dyDescent="0.2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 x14ac:dyDescent="0.2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 x14ac:dyDescent="0.2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 x14ac:dyDescent="0.2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 x14ac:dyDescent="0.2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 x14ac:dyDescent="0.2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 x14ac:dyDescent="0.2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 x14ac:dyDescent="0.2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 x14ac:dyDescent="0.2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 x14ac:dyDescent="0.2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 x14ac:dyDescent="0.2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 x14ac:dyDescent="0.2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 x14ac:dyDescent="0.2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 x14ac:dyDescent="0.2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 x14ac:dyDescent="0.2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 x14ac:dyDescent="0.2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 x14ac:dyDescent="0.2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 x14ac:dyDescent="0.2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 x14ac:dyDescent="0.2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 x14ac:dyDescent="0.2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 x14ac:dyDescent="0.2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 x14ac:dyDescent="0.2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 x14ac:dyDescent="0.2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 x14ac:dyDescent="0.2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 x14ac:dyDescent="0.2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 x14ac:dyDescent="0.2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 x14ac:dyDescent="0.2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 x14ac:dyDescent="0.2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 x14ac:dyDescent="0.2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 x14ac:dyDescent="0.2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 x14ac:dyDescent="0.2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 x14ac:dyDescent="0.2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 x14ac:dyDescent="0.2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 x14ac:dyDescent="0.2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 x14ac:dyDescent="0.2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 x14ac:dyDescent="0.2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 x14ac:dyDescent="0.2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 x14ac:dyDescent="0.2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 x14ac:dyDescent="0.2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 x14ac:dyDescent="0.2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 x14ac:dyDescent="0.2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 x14ac:dyDescent="0.2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 x14ac:dyDescent="0.2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 x14ac:dyDescent="0.2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 x14ac:dyDescent="0.2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 x14ac:dyDescent="0.2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 x14ac:dyDescent="0.2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 x14ac:dyDescent="0.2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 x14ac:dyDescent="0.2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 x14ac:dyDescent="0.2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 x14ac:dyDescent="0.2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 x14ac:dyDescent="0.2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 x14ac:dyDescent="0.2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 x14ac:dyDescent="0.2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 x14ac:dyDescent="0.2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 x14ac:dyDescent="0.2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 x14ac:dyDescent="0.2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 x14ac:dyDescent="0.2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 x14ac:dyDescent="0.2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 x14ac:dyDescent="0.2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 x14ac:dyDescent="0.2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 x14ac:dyDescent="0.2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 x14ac:dyDescent="0.2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 x14ac:dyDescent="0.2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 x14ac:dyDescent="0.2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 x14ac:dyDescent="0.2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 x14ac:dyDescent="0.2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 x14ac:dyDescent="0.2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 x14ac:dyDescent="0.2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 x14ac:dyDescent="0.2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 x14ac:dyDescent="0.2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 x14ac:dyDescent="0.2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 x14ac:dyDescent="0.2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 x14ac:dyDescent="0.2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 x14ac:dyDescent="0.2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 x14ac:dyDescent="0.2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 x14ac:dyDescent="0.2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 x14ac:dyDescent="0.2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 x14ac:dyDescent="0.2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 x14ac:dyDescent="0.2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 x14ac:dyDescent="0.2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 x14ac:dyDescent="0.2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 x14ac:dyDescent="0.2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 x14ac:dyDescent="0.2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 x14ac:dyDescent="0.2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 x14ac:dyDescent="0.2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 x14ac:dyDescent="0.2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 x14ac:dyDescent="0.2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 x14ac:dyDescent="0.2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 x14ac:dyDescent="0.2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 x14ac:dyDescent="0.2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 x14ac:dyDescent="0.2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 x14ac:dyDescent="0.2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 x14ac:dyDescent="0.2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 x14ac:dyDescent="0.2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 x14ac:dyDescent="0.2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 x14ac:dyDescent="0.2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 x14ac:dyDescent="0.2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 x14ac:dyDescent="0.2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 x14ac:dyDescent="0.2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 x14ac:dyDescent="0.2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 x14ac:dyDescent="0.2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 x14ac:dyDescent="0.2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 x14ac:dyDescent="0.2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 x14ac:dyDescent="0.2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 x14ac:dyDescent="0.2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 x14ac:dyDescent="0.2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 x14ac:dyDescent="0.2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 x14ac:dyDescent="0.2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 x14ac:dyDescent="0.2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 x14ac:dyDescent="0.2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 x14ac:dyDescent="0.2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 x14ac:dyDescent="0.2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 x14ac:dyDescent="0.2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 x14ac:dyDescent="0.2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 x14ac:dyDescent="0.2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 x14ac:dyDescent="0.2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 x14ac:dyDescent="0.2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 x14ac:dyDescent="0.2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 x14ac:dyDescent="0.2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 x14ac:dyDescent="0.2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 x14ac:dyDescent="0.2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 x14ac:dyDescent="0.2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 x14ac:dyDescent="0.2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 x14ac:dyDescent="0.2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 x14ac:dyDescent="0.2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 x14ac:dyDescent="0.2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 x14ac:dyDescent="0.2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 x14ac:dyDescent="0.2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 x14ac:dyDescent="0.2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 x14ac:dyDescent="0.2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 x14ac:dyDescent="0.2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 x14ac:dyDescent="0.2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 x14ac:dyDescent="0.2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 x14ac:dyDescent="0.2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 x14ac:dyDescent="0.2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 x14ac:dyDescent="0.2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 x14ac:dyDescent="0.2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 x14ac:dyDescent="0.2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 x14ac:dyDescent="0.2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 x14ac:dyDescent="0.2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 x14ac:dyDescent="0.2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 x14ac:dyDescent="0.2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 x14ac:dyDescent="0.2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 x14ac:dyDescent="0.2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 x14ac:dyDescent="0.2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 x14ac:dyDescent="0.2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 x14ac:dyDescent="0.2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 x14ac:dyDescent="0.2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 x14ac:dyDescent="0.2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 x14ac:dyDescent="0.2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 x14ac:dyDescent="0.2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 x14ac:dyDescent="0.2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 x14ac:dyDescent="0.2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 x14ac:dyDescent="0.2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 x14ac:dyDescent="0.2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 x14ac:dyDescent="0.2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 x14ac:dyDescent="0.2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 x14ac:dyDescent="0.2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 x14ac:dyDescent="0.2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 x14ac:dyDescent="0.2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 x14ac:dyDescent="0.2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 x14ac:dyDescent="0.2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 x14ac:dyDescent="0.2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 x14ac:dyDescent="0.2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 x14ac:dyDescent="0.2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 x14ac:dyDescent="0.2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 x14ac:dyDescent="0.2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 x14ac:dyDescent="0.2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 x14ac:dyDescent="0.2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 x14ac:dyDescent="0.2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 x14ac:dyDescent="0.2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 x14ac:dyDescent="0.2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 x14ac:dyDescent="0.2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 x14ac:dyDescent="0.2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 x14ac:dyDescent="0.2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 x14ac:dyDescent="0.2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 x14ac:dyDescent="0.2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 x14ac:dyDescent="0.2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 x14ac:dyDescent="0.2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 x14ac:dyDescent="0.2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 x14ac:dyDescent="0.2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 x14ac:dyDescent="0.2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 x14ac:dyDescent="0.2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 x14ac:dyDescent="0.2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 x14ac:dyDescent="0.2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 x14ac:dyDescent="0.2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 x14ac:dyDescent="0.2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 x14ac:dyDescent="0.2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 x14ac:dyDescent="0.2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 x14ac:dyDescent="0.2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 x14ac:dyDescent="0.2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 x14ac:dyDescent="0.2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 x14ac:dyDescent="0.2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 x14ac:dyDescent="0.2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 x14ac:dyDescent="0.2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 x14ac:dyDescent="0.2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 x14ac:dyDescent="0.2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 x14ac:dyDescent="0.2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 x14ac:dyDescent="0.2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 x14ac:dyDescent="0.2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 x14ac:dyDescent="0.2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 x14ac:dyDescent="0.2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 x14ac:dyDescent="0.2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 x14ac:dyDescent="0.2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 x14ac:dyDescent="0.2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 x14ac:dyDescent="0.2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 x14ac:dyDescent="0.2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 x14ac:dyDescent="0.2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 x14ac:dyDescent="0.2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 x14ac:dyDescent="0.2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 x14ac:dyDescent="0.2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 x14ac:dyDescent="0.2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 x14ac:dyDescent="0.2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 x14ac:dyDescent="0.2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 x14ac:dyDescent="0.2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 x14ac:dyDescent="0.2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 x14ac:dyDescent="0.2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 x14ac:dyDescent="0.2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 x14ac:dyDescent="0.2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 x14ac:dyDescent="0.2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 x14ac:dyDescent="0.2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 x14ac:dyDescent="0.2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 x14ac:dyDescent="0.2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 x14ac:dyDescent="0.2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 x14ac:dyDescent="0.2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 x14ac:dyDescent="0.2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 x14ac:dyDescent="0.2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 x14ac:dyDescent="0.2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 x14ac:dyDescent="0.2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 x14ac:dyDescent="0.2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 x14ac:dyDescent="0.2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 x14ac:dyDescent="0.2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 x14ac:dyDescent="0.2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 x14ac:dyDescent="0.2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 x14ac:dyDescent="0.2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 x14ac:dyDescent="0.2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 x14ac:dyDescent="0.2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 x14ac:dyDescent="0.2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 x14ac:dyDescent="0.2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 x14ac:dyDescent="0.2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 x14ac:dyDescent="0.2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 x14ac:dyDescent="0.2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 x14ac:dyDescent="0.2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 x14ac:dyDescent="0.2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 x14ac:dyDescent="0.2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 x14ac:dyDescent="0.2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 x14ac:dyDescent="0.2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 x14ac:dyDescent="0.2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 x14ac:dyDescent="0.2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 x14ac:dyDescent="0.2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 x14ac:dyDescent="0.2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 x14ac:dyDescent="0.2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 x14ac:dyDescent="0.2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 x14ac:dyDescent="0.2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 x14ac:dyDescent="0.2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 x14ac:dyDescent="0.2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 x14ac:dyDescent="0.2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 x14ac:dyDescent="0.2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 x14ac:dyDescent="0.2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 x14ac:dyDescent="0.2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 x14ac:dyDescent="0.2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 x14ac:dyDescent="0.2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 x14ac:dyDescent="0.2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 x14ac:dyDescent="0.2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 x14ac:dyDescent="0.2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 x14ac:dyDescent="0.2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 x14ac:dyDescent="0.2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 x14ac:dyDescent="0.2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 x14ac:dyDescent="0.2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 x14ac:dyDescent="0.2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 x14ac:dyDescent="0.2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 x14ac:dyDescent="0.2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 x14ac:dyDescent="0.2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 x14ac:dyDescent="0.2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 x14ac:dyDescent="0.2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 x14ac:dyDescent="0.2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 x14ac:dyDescent="0.2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 x14ac:dyDescent="0.2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 x14ac:dyDescent="0.2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 x14ac:dyDescent="0.2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 x14ac:dyDescent="0.2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 x14ac:dyDescent="0.2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 x14ac:dyDescent="0.2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 x14ac:dyDescent="0.2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 x14ac:dyDescent="0.2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 x14ac:dyDescent="0.2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 x14ac:dyDescent="0.2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 x14ac:dyDescent="0.2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 x14ac:dyDescent="0.2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 x14ac:dyDescent="0.2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 x14ac:dyDescent="0.2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 x14ac:dyDescent="0.2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 x14ac:dyDescent="0.2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 x14ac:dyDescent="0.2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 x14ac:dyDescent="0.2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 x14ac:dyDescent="0.2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 x14ac:dyDescent="0.2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 x14ac:dyDescent="0.2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 x14ac:dyDescent="0.2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 x14ac:dyDescent="0.2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 x14ac:dyDescent="0.2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 x14ac:dyDescent="0.2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 x14ac:dyDescent="0.2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 x14ac:dyDescent="0.2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 x14ac:dyDescent="0.2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 x14ac:dyDescent="0.2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 x14ac:dyDescent="0.2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 x14ac:dyDescent="0.2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 x14ac:dyDescent="0.2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 x14ac:dyDescent="0.2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 x14ac:dyDescent="0.2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 x14ac:dyDescent="0.2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 x14ac:dyDescent="0.2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 x14ac:dyDescent="0.2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 x14ac:dyDescent="0.2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 x14ac:dyDescent="0.2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 x14ac:dyDescent="0.2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 x14ac:dyDescent="0.2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 x14ac:dyDescent="0.2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 x14ac:dyDescent="0.2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 x14ac:dyDescent="0.2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 x14ac:dyDescent="0.2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 x14ac:dyDescent="0.2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 x14ac:dyDescent="0.2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 x14ac:dyDescent="0.2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 x14ac:dyDescent="0.2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 x14ac:dyDescent="0.2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 x14ac:dyDescent="0.2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 x14ac:dyDescent="0.2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 x14ac:dyDescent="0.2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 x14ac:dyDescent="0.2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 x14ac:dyDescent="0.2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 x14ac:dyDescent="0.2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 x14ac:dyDescent="0.2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 x14ac:dyDescent="0.2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 x14ac:dyDescent="0.2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 x14ac:dyDescent="0.2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 x14ac:dyDescent="0.2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 x14ac:dyDescent="0.2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 x14ac:dyDescent="0.2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 x14ac:dyDescent="0.2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 x14ac:dyDescent="0.2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 x14ac:dyDescent="0.2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 x14ac:dyDescent="0.2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 x14ac:dyDescent="0.2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 x14ac:dyDescent="0.2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 x14ac:dyDescent="0.2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 x14ac:dyDescent="0.2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 x14ac:dyDescent="0.2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 x14ac:dyDescent="0.2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 x14ac:dyDescent="0.2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 x14ac:dyDescent="0.2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 x14ac:dyDescent="0.2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 x14ac:dyDescent="0.2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 x14ac:dyDescent="0.2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 x14ac:dyDescent="0.2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 x14ac:dyDescent="0.2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 x14ac:dyDescent="0.2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 x14ac:dyDescent="0.2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 x14ac:dyDescent="0.2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 x14ac:dyDescent="0.2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 x14ac:dyDescent="0.2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 x14ac:dyDescent="0.2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 x14ac:dyDescent="0.2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 x14ac:dyDescent="0.2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 x14ac:dyDescent="0.2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 x14ac:dyDescent="0.2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 x14ac:dyDescent="0.2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 x14ac:dyDescent="0.2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 x14ac:dyDescent="0.2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 x14ac:dyDescent="0.2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 x14ac:dyDescent="0.2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 x14ac:dyDescent="0.2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 x14ac:dyDescent="0.2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 x14ac:dyDescent="0.2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 x14ac:dyDescent="0.2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 x14ac:dyDescent="0.2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 x14ac:dyDescent="0.2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 x14ac:dyDescent="0.2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 x14ac:dyDescent="0.2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 x14ac:dyDescent="0.2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 x14ac:dyDescent="0.2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 x14ac:dyDescent="0.2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 x14ac:dyDescent="0.2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 x14ac:dyDescent="0.2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 x14ac:dyDescent="0.2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 x14ac:dyDescent="0.2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 x14ac:dyDescent="0.2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 x14ac:dyDescent="0.2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 x14ac:dyDescent="0.2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 x14ac:dyDescent="0.2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 x14ac:dyDescent="0.2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 x14ac:dyDescent="0.2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 x14ac:dyDescent="0.2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 x14ac:dyDescent="0.2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 x14ac:dyDescent="0.2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 x14ac:dyDescent="0.2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 x14ac:dyDescent="0.2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 x14ac:dyDescent="0.2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 x14ac:dyDescent="0.2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 x14ac:dyDescent="0.2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 x14ac:dyDescent="0.2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 x14ac:dyDescent="0.2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 x14ac:dyDescent="0.2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 x14ac:dyDescent="0.2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 x14ac:dyDescent="0.2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 x14ac:dyDescent="0.2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 x14ac:dyDescent="0.2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 x14ac:dyDescent="0.2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 x14ac:dyDescent="0.2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 x14ac:dyDescent="0.2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 x14ac:dyDescent="0.2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 x14ac:dyDescent="0.2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 x14ac:dyDescent="0.2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 x14ac:dyDescent="0.2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 x14ac:dyDescent="0.2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 x14ac:dyDescent="0.2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 x14ac:dyDescent="0.2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 x14ac:dyDescent="0.2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 x14ac:dyDescent="0.2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 x14ac:dyDescent="0.2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 x14ac:dyDescent="0.2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 x14ac:dyDescent="0.2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 x14ac:dyDescent="0.2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 x14ac:dyDescent="0.2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 x14ac:dyDescent="0.2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 x14ac:dyDescent="0.2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 x14ac:dyDescent="0.2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 x14ac:dyDescent="0.2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 x14ac:dyDescent="0.2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 x14ac:dyDescent="0.2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 x14ac:dyDescent="0.2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 x14ac:dyDescent="0.2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 x14ac:dyDescent="0.2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 x14ac:dyDescent="0.2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 x14ac:dyDescent="0.2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 x14ac:dyDescent="0.2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 x14ac:dyDescent="0.2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 x14ac:dyDescent="0.2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 x14ac:dyDescent="0.2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 x14ac:dyDescent="0.2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 x14ac:dyDescent="0.2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 x14ac:dyDescent="0.2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 x14ac:dyDescent="0.2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 x14ac:dyDescent="0.2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 x14ac:dyDescent="0.2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 x14ac:dyDescent="0.2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 x14ac:dyDescent="0.2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 x14ac:dyDescent="0.2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 x14ac:dyDescent="0.2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 x14ac:dyDescent="0.2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 x14ac:dyDescent="0.2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 x14ac:dyDescent="0.2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 x14ac:dyDescent="0.2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 x14ac:dyDescent="0.2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 x14ac:dyDescent="0.2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 x14ac:dyDescent="0.2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 x14ac:dyDescent="0.2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 x14ac:dyDescent="0.2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 x14ac:dyDescent="0.2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 x14ac:dyDescent="0.2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 x14ac:dyDescent="0.2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 x14ac:dyDescent="0.2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 x14ac:dyDescent="0.2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 x14ac:dyDescent="0.2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 x14ac:dyDescent="0.2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 x14ac:dyDescent="0.2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 x14ac:dyDescent="0.2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 x14ac:dyDescent="0.2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 x14ac:dyDescent="0.2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 x14ac:dyDescent="0.2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 x14ac:dyDescent="0.2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 x14ac:dyDescent="0.2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 x14ac:dyDescent="0.2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 x14ac:dyDescent="0.2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 x14ac:dyDescent="0.2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 x14ac:dyDescent="0.2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 x14ac:dyDescent="0.2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 x14ac:dyDescent="0.2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 x14ac:dyDescent="0.2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 x14ac:dyDescent="0.2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 x14ac:dyDescent="0.2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 x14ac:dyDescent="0.2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 x14ac:dyDescent="0.2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 x14ac:dyDescent="0.2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 x14ac:dyDescent="0.2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 x14ac:dyDescent="0.2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 x14ac:dyDescent="0.2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 x14ac:dyDescent="0.2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 x14ac:dyDescent="0.2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 x14ac:dyDescent="0.2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 x14ac:dyDescent="0.2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 x14ac:dyDescent="0.2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 x14ac:dyDescent="0.2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 x14ac:dyDescent="0.2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 x14ac:dyDescent="0.2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 x14ac:dyDescent="0.2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 x14ac:dyDescent="0.2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 x14ac:dyDescent="0.2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 x14ac:dyDescent="0.2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 x14ac:dyDescent="0.2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 x14ac:dyDescent="0.2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 x14ac:dyDescent="0.2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 x14ac:dyDescent="0.2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 x14ac:dyDescent="0.2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 x14ac:dyDescent="0.2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 x14ac:dyDescent="0.2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 x14ac:dyDescent="0.2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 x14ac:dyDescent="0.2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 x14ac:dyDescent="0.2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 x14ac:dyDescent="0.2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 x14ac:dyDescent="0.2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 x14ac:dyDescent="0.2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 x14ac:dyDescent="0.2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 x14ac:dyDescent="0.2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 x14ac:dyDescent="0.2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 x14ac:dyDescent="0.2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 x14ac:dyDescent="0.2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 x14ac:dyDescent="0.2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 x14ac:dyDescent="0.2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 x14ac:dyDescent="0.2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 x14ac:dyDescent="0.2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 x14ac:dyDescent="0.2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 x14ac:dyDescent="0.2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 x14ac:dyDescent="0.2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 x14ac:dyDescent="0.2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 x14ac:dyDescent="0.2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 x14ac:dyDescent="0.2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 x14ac:dyDescent="0.2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 x14ac:dyDescent="0.2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 x14ac:dyDescent="0.2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 x14ac:dyDescent="0.2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 x14ac:dyDescent="0.2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 x14ac:dyDescent="0.2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 x14ac:dyDescent="0.2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 x14ac:dyDescent="0.2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 x14ac:dyDescent="0.2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 x14ac:dyDescent="0.2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 x14ac:dyDescent="0.2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 x14ac:dyDescent="0.2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 x14ac:dyDescent="0.2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 x14ac:dyDescent="0.2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 x14ac:dyDescent="0.2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 x14ac:dyDescent="0.2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 x14ac:dyDescent="0.2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 x14ac:dyDescent="0.2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 x14ac:dyDescent="0.2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 x14ac:dyDescent="0.2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 x14ac:dyDescent="0.2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 x14ac:dyDescent="0.2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 x14ac:dyDescent="0.2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 x14ac:dyDescent="0.2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 x14ac:dyDescent="0.2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 x14ac:dyDescent="0.2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 x14ac:dyDescent="0.2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 x14ac:dyDescent="0.2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 x14ac:dyDescent="0.2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 x14ac:dyDescent="0.2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 x14ac:dyDescent="0.2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 x14ac:dyDescent="0.2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 x14ac:dyDescent="0.2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 x14ac:dyDescent="0.2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 x14ac:dyDescent="0.2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 x14ac:dyDescent="0.2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 x14ac:dyDescent="0.2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 x14ac:dyDescent="0.2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 x14ac:dyDescent="0.2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 x14ac:dyDescent="0.2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 x14ac:dyDescent="0.2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 x14ac:dyDescent="0.2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 x14ac:dyDescent="0.2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 x14ac:dyDescent="0.2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 x14ac:dyDescent="0.2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 x14ac:dyDescent="0.2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 x14ac:dyDescent="0.2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 x14ac:dyDescent="0.2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 x14ac:dyDescent="0.2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 x14ac:dyDescent="0.2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 x14ac:dyDescent="0.2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 x14ac:dyDescent="0.2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 x14ac:dyDescent="0.2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 x14ac:dyDescent="0.2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 x14ac:dyDescent="0.2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 x14ac:dyDescent="0.2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 x14ac:dyDescent="0.2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 x14ac:dyDescent="0.2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 x14ac:dyDescent="0.2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 x14ac:dyDescent="0.2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 x14ac:dyDescent="0.2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 x14ac:dyDescent="0.2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 x14ac:dyDescent="0.2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 x14ac:dyDescent="0.2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 x14ac:dyDescent="0.2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 x14ac:dyDescent="0.2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 x14ac:dyDescent="0.2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 x14ac:dyDescent="0.2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 x14ac:dyDescent="0.2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 x14ac:dyDescent="0.2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 x14ac:dyDescent="0.2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 x14ac:dyDescent="0.2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 x14ac:dyDescent="0.2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 x14ac:dyDescent="0.2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 x14ac:dyDescent="0.2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 x14ac:dyDescent="0.2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 x14ac:dyDescent="0.2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 x14ac:dyDescent="0.2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 x14ac:dyDescent="0.2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 x14ac:dyDescent="0.2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 x14ac:dyDescent="0.2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 x14ac:dyDescent="0.2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 x14ac:dyDescent="0.2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 x14ac:dyDescent="0.2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 x14ac:dyDescent="0.2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 x14ac:dyDescent="0.2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 x14ac:dyDescent="0.2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 x14ac:dyDescent="0.2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 x14ac:dyDescent="0.2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 x14ac:dyDescent="0.2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 x14ac:dyDescent="0.2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 x14ac:dyDescent="0.2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 x14ac:dyDescent="0.2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 x14ac:dyDescent="0.2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 x14ac:dyDescent="0.2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 x14ac:dyDescent="0.2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 x14ac:dyDescent="0.2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 x14ac:dyDescent="0.2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 x14ac:dyDescent="0.2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 x14ac:dyDescent="0.2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 x14ac:dyDescent="0.2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 x14ac:dyDescent="0.2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 x14ac:dyDescent="0.2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 x14ac:dyDescent="0.2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 x14ac:dyDescent="0.2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 x14ac:dyDescent="0.2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 x14ac:dyDescent="0.2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 x14ac:dyDescent="0.2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 x14ac:dyDescent="0.2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 x14ac:dyDescent="0.2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 x14ac:dyDescent="0.2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 x14ac:dyDescent="0.2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 x14ac:dyDescent="0.2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 x14ac:dyDescent="0.2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 x14ac:dyDescent="0.2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 x14ac:dyDescent="0.2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 x14ac:dyDescent="0.2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 x14ac:dyDescent="0.2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 x14ac:dyDescent="0.2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 x14ac:dyDescent="0.2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 x14ac:dyDescent="0.2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 x14ac:dyDescent="0.2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 x14ac:dyDescent="0.2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 x14ac:dyDescent="0.2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 x14ac:dyDescent="0.2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 x14ac:dyDescent="0.2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 x14ac:dyDescent="0.2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 x14ac:dyDescent="0.2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 x14ac:dyDescent="0.2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 x14ac:dyDescent="0.2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 x14ac:dyDescent="0.2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 x14ac:dyDescent="0.2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 x14ac:dyDescent="0.2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 x14ac:dyDescent="0.2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 x14ac:dyDescent="0.2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 x14ac:dyDescent="0.2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 x14ac:dyDescent="0.2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 x14ac:dyDescent="0.2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 x14ac:dyDescent="0.2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 x14ac:dyDescent="0.2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 x14ac:dyDescent="0.2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 x14ac:dyDescent="0.2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 x14ac:dyDescent="0.2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 x14ac:dyDescent="0.2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 x14ac:dyDescent="0.2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 x14ac:dyDescent="0.2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 x14ac:dyDescent="0.2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 x14ac:dyDescent="0.2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 x14ac:dyDescent="0.2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 x14ac:dyDescent="0.2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 x14ac:dyDescent="0.2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 x14ac:dyDescent="0.2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 x14ac:dyDescent="0.2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 x14ac:dyDescent="0.2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 x14ac:dyDescent="0.2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 x14ac:dyDescent="0.2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 x14ac:dyDescent="0.2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 x14ac:dyDescent="0.2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 x14ac:dyDescent="0.2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 x14ac:dyDescent="0.2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 x14ac:dyDescent="0.2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 x14ac:dyDescent="0.2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 x14ac:dyDescent="0.2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 x14ac:dyDescent="0.2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 x14ac:dyDescent="0.2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 x14ac:dyDescent="0.2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 x14ac:dyDescent="0.2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 x14ac:dyDescent="0.2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 x14ac:dyDescent="0.2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 x14ac:dyDescent="0.2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 x14ac:dyDescent="0.2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 x14ac:dyDescent="0.2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 x14ac:dyDescent="0.2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 x14ac:dyDescent="0.2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 x14ac:dyDescent="0.2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 x14ac:dyDescent="0.2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 x14ac:dyDescent="0.2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 x14ac:dyDescent="0.2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 x14ac:dyDescent="0.2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 x14ac:dyDescent="0.2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 x14ac:dyDescent="0.2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 x14ac:dyDescent="0.2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 x14ac:dyDescent="0.2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 x14ac:dyDescent="0.2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 x14ac:dyDescent="0.2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 x14ac:dyDescent="0.2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 x14ac:dyDescent="0.2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 x14ac:dyDescent="0.2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 x14ac:dyDescent="0.2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 x14ac:dyDescent="0.2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 x14ac:dyDescent="0.2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 x14ac:dyDescent="0.2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 x14ac:dyDescent="0.2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 x14ac:dyDescent="0.2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 x14ac:dyDescent="0.2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 x14ac:dyDescent="0.2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 x14ac:dyDescent="0.2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 x14ac:dyDescent="0.2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 x14ac:dyDescent="0.2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 x14ac:dyDescent="0.2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 x14ac:dyDescent="0.2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 x14ac:dyDescent="0.2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 x14ac:dyDescent="0.2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 x14ac:dyDescent="0.2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 x14ac:dyDescent="0.2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 x14ac:dyDescent="0.2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 x14ac:dyDescent="0.2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 x14ac:dyDescent="0.2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 x14ac:dyDescent="0.2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 x14ac:dyDescent="0.2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 x14ac:dyDescent="0.2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 x14ac:dyDescent="0.2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 x14ac:dyDescent="0.2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 x14ac:dyDescent="0.2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 x14ac:dyDescent="0.2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 x14ac:dyDescent="0.2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 x14ac:dyDescent="0.2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 x14ac:dyDescent="0.2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 x14ac:dyDescent="0.2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 x14ac:dyDescent="0.2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 x14ac:dyDescent="0.2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 x14ac:dyDescent="0.2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 x14ac:dyDescent="0.2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 x14ac:dyDescent="0.2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 x14ac:dyDescent="0.2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 x14ac:dyDescent="0.2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 x14ac:dyDescent="0.2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 x14ac:dyDescent="0.2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 x14ac:dyDescent="0.2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 x14ac:dyDescent="0.2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 x14ac:dyDescent="0.2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 x14ac:dyDescent="0.2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 x14ac:dyDescent="0.2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 x14ac:dyDescent="0.2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 x14ac:dyDescent="0.2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 x14ac:dyDescent="0.2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 x14ac:dyDescent="0.2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 x14ac:dyDescent="0.2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 x14ac:dyDescent="0.2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 x14ac:dyDescent="0.2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 x14ac:dyDescent="0.2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 x14ac:dyDescent="0.2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 x14ac:dyDescent="0.2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 x14ac:dyDescent="0.2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 x14ac:dyDescent="0.2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 x14ac:dyDescent="0.2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 x14ac:dyDescent="0.2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 x14ac:dyDescent="0.2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 x14ac:dyDescent="0.2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 x14ac:dyDescent="0.2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 x14ac:dyDescent="0.2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 x14ac:dyDescent="0.2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 x14ac:dyDescent="0.2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 x14ac:dyDescent="0.2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 x14ac:dyDescent="0.2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 x14ac:dyDescent="0.2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 x14ac:dyDescent="0.2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 x14ac:dyDescent="0.2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 x14ac:dyDescent="0.2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 x14ac:dyDescent="0.2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 x14ac:dyDescent="0.2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 x14ac:dyDescent="0.2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 x14ac:dyDescent="0.2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 x14ac:dyDescent="0.2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 x14ac:dyDescent="0.2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 x14ac:dyDescent="0.2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 x14ac:dyDescent="0.2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 x14ac:dyDescent="0.2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 x14ac:dyDescent="0.2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 x14ac:dyDescent="0.2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 x14ac:dyDescent="0.2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 x14ac:dyDescent="0.2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 x14ac:dyDescent="0.2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 x14ac:dyDescent="0.2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 x14ac:dyDescent="0.2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 x14ac:dyDescent="0.2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 x14ac:dyDescent="0.2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 x14ac:dyDescent="0.2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 x14ac:dyDescent="0.2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 x14ac:dyDescent="0.2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 x14ac:dyDescent="0.2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 x14ac:dyDescent="0.2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 x14ac:dyDescent="0.2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 x14ac:dyDescent="0.2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 x14ac:dyDescent="0.2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 x14ac:dyDescent="0.2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 x14ac:dyDescent="0.2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 x14ac:dyDescent="0.2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 x14ac:dyDescent="0.2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 x14ac:dyDescent="0.2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 x14ac:dyDescent="0.2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 x14ac:dyDescent="0.2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 x14ac:dyDescent="0.2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 x14ac:dyDescent="0.2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 x14ac:dyDescent="0.2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 x14ac:dyDescent="0.2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 x14ac:dyDescent="0.2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 x14ac:dyDescent="0.2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 x14ac:dyDescent="0.2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 x14ac:dyDescent="0.2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 x14ac:dyDescent="0.2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 x14ac:dyDescent="0.2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 x14ac:dyDescent="0.2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 x14ac:dyDescent="0.2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 x14ac:dyDescent="0.2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 x14ac:dyDescent="0.2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 x14ac:dyDescent="0.2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 x14ac:dyDescent="0.2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 x14ac:dyDescent="0.2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 x14ac:dyDescent="0.2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 x14ac:dyDescent="0.2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 x14ac:dyDescent="0.2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 x14ac:dyDescent="0.2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 x14ac:dyDescent="0.2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 x14ac:dyDescent="0.2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 x14ac:dyDescent="0.2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 x14ac:dyDescent="0.2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 x14ac:dyDescent="0.2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 x14ac:dyDescent="0.2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 x14ac:dyDescent="0.2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 x14ac:dyDescent="0.2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 x14ac:dyDescent="0.2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 x14ac:dyDescent="0.2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 x14ac:dyDescent="0.2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 x14ac:dyDescent="0.2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 x14ac:dyDescent="0.2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 x14ac:dyDescent="0.2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 x14ac:dyDescent="0.2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 x14ac:dyDescent="0.2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 x14ac:dyDescent="0.2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 x14ac:dyDescent="0.2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 x14ac:dyDescent="0.2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 x14ac:dyDescent="0.2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 x14ac:dyDescent="0.2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 x14ac:dyDescent="0.2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 x14ac:dyDescent="0.2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 x14ac:dyDescent="0.2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 x14ac:dyDescent="0.2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 x14ac:dyDescent="0.2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 x14ac:dyDescent="0.2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 x14ac:dyDescent="0.2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 x14ac:dyDescent="0.2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 x14ac:dyDescent="0.2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 x14ac:dyDescent="0.2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 x14ac:dyDescent="0.2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 x14ac:dyDescent="0.2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 x14ac:dyDescent="0.2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 x14ac:dyDescent="0.2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 x14ac:dyDescent="0.2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 x14ac:dyDescent="0.2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 x14ac:dyDescent="0.2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 x14ac:dyDescent="0.2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 x14ac:dyDescent="0.2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 x14ac:dyDescent="0.2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 x14ac:dyDescent="0.2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 x14ac:dyDescent="0.2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 x14ac:dyDescent="0.2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 x14ac:dyDescent="0.2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 x14ac:dyDescent="0.2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 x14ac:dyDescent="0.2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 x14ac:dyDescent="0.2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 x14ac:dyDescent="0.2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 x14ac:dyDescent="0.2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 x14ac:dyDescent="0.2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 x14ac:dyDescent="0.2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 x14ac:dyDescent="0.2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 x14ac:dyDescent="0.2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 x14ac:dyDescent="0.2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 x14ac:dyDescent="0.2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 x14ac:dyDescent="0.2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 x14ac:dyDescent="0.2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 x14ac:dyDescent="0.2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 x14ac:dyDescent="0.2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 x14ac:dyDescent="0.2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 x14ac:dyDescent="0.2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 x14ac:dyDescent="0.2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 x14ac:dyDescent="0.2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 x14ac:dyDescent="0.2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 x14ac:dyDescent="0.2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 x14ac:dyDescent="0.2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 x14ac:dyDescent="0.2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 x14ac:dyDescent="0.2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 x14ac:dyDescent="0.2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 x14ac:dyDescent="0.2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 x14ac:dyDescent="0.2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 x14ac:dyDescent="0.2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 x14ac:dyDescent="0.2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 x14ac:dyDescent="0.2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 x14ac:dyDescent="0.2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 x14ac:dyDescent="0.2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 x14ac:dyDescent="0.2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 x14ac:dyDescent="0.2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 x14ac:dyDescent="0.2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 x14ac:dyDescent="0.2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 x14ac:dyDescent="0.2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 x14ac:dyDescent="0.2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 x14ac:dyDescent="0.2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 x14ac:dyDescent="0.2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 x14ac:dyDescent="0.2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 x14ac:dyDescent="0.2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 x14ac:dyDescent="0.2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 x14ac:dyDescent="0.2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 x14ac:dyDescent="0.2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 x14ac:dyDescent="0.2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 x14ac:dyDescent="0.2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 x14ac:dyDescent="0.2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 x14ac:dyDescent="0.2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 x14ac:dyDescent="0.2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 x14ac:dyDescent="0.2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 x14ac:dyDescent="0.2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 x14ac:dyDescent="0.2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 x14ac:dyDescent="0.2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 x14ac:dyDescent="0.2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 x14ac:dyDescent="0.2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 x14ac:dyDescent="0.2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 x14ac:dyDescent="0.2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 x14ac:dyDescent="0.2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 x14ac:dyDescent="0.2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 x14ac:dyDescent="0.2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 x14ac:dyDescent="0.2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 x14ac:dyDescent="0.2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 x14ac:dyDescent="0.2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 x14ac:dyDescent="0.2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 x14ac:dyDescent="0.2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 x14ac:dyDescent="0.2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 x14ac:dyDescent="0.2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 x14ac:dyDescent="0.2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 x14ac:dyDescent="0.2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 x14ac:dyDescent="0.2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 x14ac:dyDescent="0.2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 x14ac:dyDescent="0.2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 x14ac:dyDescent="0.2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 x14ac:dyDescent="0.2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 x14ac:dyDescent="0.2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 x14ac:dyDescent="0.2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 x14ac:dyDescent="0.2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 x14ac:dyDescent="0.2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 x14ac:dyDescent="0.2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 x14ac:dyDescent="0.2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 x14ac:dyDescent="0.2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 x14ac:dyDescent="0.2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 x14ac:dyDescent="0.2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 x14ac:dyDescent="0.2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 x14ac:dyDescent="0.2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 x14ac:dyDescent="0.2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 x14ac:dyDescent="0.2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 x14ac:dyDescent="0.2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 x14ac:dyDescent="0.2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 x14ac:dyDescent="0.2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 x14ac:dyDescent="0.2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 x14ac:dyDescent="0.2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 x14ac:dyDescent="0.2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 x14ac:dyDescent="0.2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 x14ac:dyDescent="0.2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 x14ac:dyDescent="0.2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 x14ac:dyDescent="0.2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 x14ac:dyDescent="0.2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 x14ac:dyDescent="0.2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 x14ac:dyDescent="0.2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 x14ac:dyDescent="0.2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 x14ac:dyDescent="0.2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 x14ac:dyDescent="0.2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 x14ac:dyDescent="0.2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 x14ac:dyDescent="0.2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 x14ac:dyDescent="0.2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 x14ac:dyDescent="0.2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 x14ac:dyDescent="0.2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 x14ac:dyDescent="0.2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 x14ac:dyDescent="0.2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 x14ac:dyDescent="0.2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 x14ac:dyDescent="0.2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 x14ac:dyDescent="0.2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 x14ac:dyDescent="0.2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 x14ac:dyDescent="0.2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 x14ac:dyDescent="0.2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 x14ac:dyDescent="0.2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 x14ac:dyDescent="0.2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 x14ac:dyDescent="0.2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 x14ac:dyDescent="0.2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 x14ac:dyDescent="0.2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 x14ac:dyDescent="0.2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 x14ac:dyDescent="0.2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 x14ac:dyDescent="0.2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 x14ac:dyDescent="0.2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 x14ac:dyDescent="0.2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 x14ac:dyDescent="0.2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 x14ac:dyDescent="0.2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 x14ac:dyDescent="0.2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 x14ac:dyDescent="0.2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 x14ac:dyDescent="0.2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 x14ac:dyDescent="0.2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 x14ac:dyDescent="0.2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 x14ac:dyDescent="0.2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 x14ac:dyDescent="0.2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 x14ac:dyDescent="0.2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 x14ac:dyDescent="0.2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 x14ac:dyDescent="0.2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 x14ac:dyDescent="0.2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 x14ac:dyDescent="0.2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 x14ac:dyDescent="0.2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 x14ac:dyDescent="0.2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 x14ac:dyDescent="0.2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 x14ac:dyDescent="0.2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 x14ac:dyDescent="0.2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 x14ac:dyDescent="0.2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 x14ac:dyDescent="0.2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 x14ac:dyDescent="0.2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 x14ac:dyDescent="0.2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 x14ac:dyDescent="0.2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 x14ac:dyDescent="0.2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 x14ac:dyDescent="0.2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 x14ac:dyDescent="0.2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 x14ac:dyDescent="0.2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 x14ac:dyDescent="0.2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 x14ac:dyDescent="0.2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 x14ac:dyDescent="0.2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 x14ac:dyDescent="0.2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 x14ac:dyDescent="0.2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 x14ac:dyDescent="0.2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 x14ac:dyDescent="0.2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 x14ac:dyDescent="0.2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 x14ac:dyDescent="0.2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 x14ac:dyDescent="0.2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 x14ac:dyDescent="0.2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 x14ac:dyDescent="0.2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 x14ac:dyDescent="0.2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 x14ac:dyDescent="0.2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 x14ac:dyDescent="0.2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 x14ac:dyDescent="0.2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 x14ac:dyDescent="0.2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 x14ac:dyDescent="0.2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 x14ac:dyDescent="0.2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 x14ac:dyDescent="0.2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 x14ac:dyDescent="0.2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 x14ac:dyDescent="0.2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 x14ac:dyDescent="0.2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 x14ac:dyDescent="0.2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 x14ac:dyDescent="0.2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 x14ac:dyDescent="0.2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 x14ac:dyDescent="0.2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 x14ac:dyDescent="0.2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 x14ac:dyDescent="0.2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 x14ac:dyDescent="0.2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 x14ac:dyDescent="0.2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 x14ac:dyDescent="0.2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 x14ac:dyDescent="0.2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 x14ac:dyDescent="0.2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 x14ac:dyDescent="0.2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 x14ac:dyDescent="0.2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 x14ac:dyDescent="0.2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 x14ac:dyDescent="0.2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 x14ac:dyDescent="0.2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 x14ac:dyDescent="0.2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 x14ac:dyDescent="0.2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 x14ac:dyDescent="0.2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 x14ac:dyDescent="0.2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 x14ac:dyDescent="0.2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 x14ac:dyDescent="0.2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 x14ac:dyDescent="0.2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 x14ac:dyDescent="0.2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 x14ac:dyDescent="0.2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 x14ac:dyDescent="0.2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 x14ac:dyDescent="0.2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 x14ac:dyDescent="0.2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 x14ac:dyDescent="0.2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 x14ac:dyDescent="0.2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 x14ac:dyDescent="0.2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 x14ac:dyDescent="0.2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 x14ac:dyDescent="0.2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 x14ac:dyDescent="0.2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 x14ac:dyDescent="0.2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 x14ac:dyDescent="0.2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 x14ac:dyDescent="0.2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 x14ac:dyDescent="0.2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 x14ac:dyDescent="0.2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 x14ac:dyDescent="0.2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 x14ac:dyDescent="0.2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 x14ac:dyDescent="0.2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 x14ac:dyDescent="0.2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 x14ac:dyDescent="0.2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 x14ac:dyDescent="0.2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 x14ac:dyDescent="0.2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 x14ac:dyDescent="0.2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 x14ac:dyDescent="0.2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 x14ac:dyDescent="0.2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 x14ac:dyDescent="0.2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 x14ac:dyDescent="0.2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 x14ac:dyDescent="0.2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 x14ac:dyDescent="0.2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 x14ac:dyDescent="0.2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 x14ac:dyDescent="0.2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 x14ac:dyDescent="0.2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 x14ac:dyDescent="0.2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 x14ac:dyDescent="0.2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 x14ac:dyDescent="0.2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 x14ac:dyDescent="0.2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 x14ac:dyDescent="0.2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 x14ac:dyDescent="0.2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 x14ac:dyDescent="0.2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 x14ac:dyDescent="0.2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 x14ac:dyDescent="0.2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 x14ac:dyDescent="0.2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 x14ac:dyDescent="0.2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 x14ac:dyDescent="0.2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 x14ac:dyDescent="0.2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 x14ac:dyDescent="0.2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 x14ac:dyDescent="0.2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 x14ac:dyDescent="0.2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 x14ac:dyDescent="0.2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 x14ac:dyDescent="0.2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 x14ac:dyDescent="0.2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 x14ac:dyDescent="0.2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 x14ac:dyDescent="0.2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 x14ac:dyDescent="0.2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 x14ac:dyDescent="0.2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 x14ac:dyDescent="0.2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 x14ac:dyDescent="0.2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 x14ac:dyDescent="0.2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 x14ac:dyDescent="0.2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 x14ac:dyDescent="0.2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 x14ac:dyDescent="0.2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 x14ac:dyDescent="0.2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 x14ac:dyDescent="0.2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 x14ac:dyDescent="0.2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 x14ac:dyDescent="0.2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 x14ac:dyDescent="0.2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 x14ac:dyDescent="0.2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 x14ac:dyDescent="0.2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 x14ac:dyDescent="0.2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 x14ac:dyDescent="0.2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 x14ac:dyDescent="0.2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 x14ac:dyDescent="0.2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 x14ac:dyDescent="0.2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 x14ac:dyDescent="0.2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 x14ac:dyDescent="0.2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 x14ac:dyDescent="0.2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 x14ac:dyDescent="0.2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 x14ac:dyDescent="0.2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 x14ac:dyDescent="0.2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 x14ac:dyDescent="0.2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 x14ac:dyDescent="0.2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 x14ac:dyDescent="0.2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 x14ac:dyDescent="0.2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 x14ac:dyDescent="0.2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 x14ac:dyDescent="0.2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 x14ac:dyDescent="0.2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 x14ac:dyDescent="0.2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 x14ac:dyDescent="0.2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 x14ac:dyDescent="0.2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 x14ac:dyDescent="0.2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 x14ac:dyDescent="0.2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 x14ac:dyDescent="0.2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 x14ac:dyDescent="0.2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 x14ac:dyDescent="0.2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 x14ac:dyDescent="0.2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 x14ac:dyDescent="0.2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 x14ac:dyDescent="0.2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 x14ac:dyDescent="0.2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 x14ac:dyDescent="0.2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 x14ac:dyDescent="0.2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 x14ac:dyDescent="0.2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 x14ac:dyDescent="0.2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 x14ac:dyDescent="0.2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 x14ac:dyDescent="0.2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 x14ac:dyDescent="0.2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 x14ac:dyDescent="0.2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 x14ac:dyDescent="0.2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 x14ac:dyDescent="0.2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 x14ac:dyDescent="0.2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 x14ac:dyDescent="0.2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 x14ac:dyDescent="0.2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 x14ac:dyDescent="0.2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 x14ac:dyDescent="0.2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 x14ac:dyDescent="0.2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 x14ac:dyDescent="0.2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 x14ac:dyDescent="0.2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 x14ac:dyDescent="0.2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 x14ac:dyDescent="0.2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 x14ac:dyDescent="0.2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 x14ac:dyDescent="0.2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 x14ac:dyDescent="0.2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 x14ac:dyDescent="0.2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 x14ac:dyDescent="0.2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 x14ac:dyDescent="0.2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 x14ac:dyDescent="0.2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 x14ac:dyDescent="0.2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 x14ac:dyDescent="0.2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 x14ac:dyDescent="0.2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 x14ac:dyDescent="0.2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 x14ac:dyDescent="0.2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 x14ac:dyDescent="0.2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 x14ac:dyDescent="0.2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 x14ac:dyDescent="0.2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 x14ac:dyDescent="0.2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 x14ac:dyDescent="0.2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 x14ac:dyDescent="0.2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 x14ac:dyDescent="0.2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 x14ac:dyDescent="0.2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 x14ac:dyDescent="0.2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 x14ac:dyDescent="0.2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 x14ac:dyDescent="0.2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 x14ac:dyDescent="0.2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 x14ac:dyDescent="0.2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 x14ac:dyDescent="0.2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 x14ac:dyDescent="0.2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 x14ac:dyDescent="0.2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 x14ac:dyDescent="0.2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 x14ac:dyDescent="0.2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 x14ac:dyDescent="0.2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 x14ac:dyDescent="0.2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 x14ac:dyDescent="0.2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 x14ac:dyDescent="0.2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 x14ac:dyDescent="0.2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 x14ac:dyDescent="0.2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 x14ac:dyDescent="0.2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 x14ac:dyDescent="0.2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 x14ac:dyDescent="0.2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 x14ac:dyDescent="0.2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 x14ac:dyDescent="0.2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 x14ac:dyDescent="0.2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 x14ac:dyDescent="0.2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 x14ac:dyDescent="0.2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 x14ac:dyDescent="0.2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 x14ac:dyDescent="0.2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 x14ac:dyDescent="0.2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 x14ac:dyDescent="0.2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 x14ac:dyDescent="0.2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 x14ac:dyDescent="0.2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 x14ac:dyDescent="0.2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 x14ac:dyDescent="0.2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 x14ac:dyDescent="0.2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 x14ac:dyDescent="0.2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 x14ac:dyDescent="0.2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 x14ac:dyDescent="0.2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 x14ac:dyDescent="0.2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 x14ac:dyDescent="0.2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 x14ac:dyDescent="0.2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 x14ac:dyDescent="0.2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 x14ac:dyDescent="0.2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 x14ac:dyDescent="0.2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 x14ac:dyDescent="0.2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 x14ac:dyDescent="0.2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 x14ac:dyDescent="0.2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 x14ac:dyDescent="0.2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 x14ac:dyDescent="0.2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 x14ac:dyDescent="0.2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 x14ac:dyDescent="0.2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 x14ac:dyDescent="0.2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 x14ac:dyDescent="0.2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 x14ac:dyDescent="0.2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 x14ac:dyDescent="0.2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 x14ac:dyDescent="0.2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 x14ac:dyDescent="0.2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 x14ac:dyDescent="0.2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 x14ac:dyDescent="0.2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 x14ac:dyDescent="0.2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 x14ac:dyDescent="0.2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 x14ac:dyDescent="0.2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 x14ac:dyDescent="0.2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 x14ac:dyDescent="0.2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 x14ac:dyDescent="0.2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 x14ac:dyDescent="0.2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 x14ac:dyDescent="0.2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 x14ac:dyDescent="0.2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 x14ac:dyDescent="0.2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 x14ac:dyDescent="0.2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 x14ac:dyDescent="0.2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 x14ac:dyDescent="0.2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 x14ac:dyDescent="0.2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 x14ac:dyDescent="0.2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 x14ac:dyDescent="0.2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 x14ac:dyDescent="0.2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 x14ac:dyDescent="0.2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 x14ac:dyDescent="0.2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 x14ac:dyDescent="0.2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 x14ac:dyDescent="0.2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 x14ac:dyDescent="0.2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 x14ac:dyDescent="0.2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 x14ac:dyDescent="0.2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 x14ac:dyDescent="0.2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 x14ac:dyDescent="0.2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 x14ac:dyDescent="0.2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 x14ac:dyDescent="0.2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 x14ac:dyDescent="0.2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 x14ac:dyDescent="0.2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 x14ac:dyDescent="0.2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 x14ac:dyDescent="0.2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 x14ac:dyDescent="0.2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 x14ac:dyDescent="0.2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 x14ac:dyDescent="0.2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 x14ac:dyDescent="0.2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 x14ac:dyDescent="0.2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 x14ac:dyDescent="0.2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 x14ac:dyDescent="0.2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 x14ac:dyDescent="0.2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 x14ac:dyDescent="0.2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 x14ac:dyDescent="0.2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 x14ac:dyDescent="0.2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 x14ac:dyDescent="0.2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 x14ac:dyDescent="0.2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 x14ac:dyDescent="0.2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 x14ac:dyDescent="0.2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 x14ac:dyDescent="0.2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 x14ac:dyDescent="0.2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 x14ac:dyDescent="0.2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 x14ac:dyDescent="0.2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 x14ac:dyDescent="0.2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 x14ac:dyDescent="0.2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 x14ac:dyDescent="0.2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 x14ac:dyDescent="0.2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 x14ac:dyDescent="0.2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 x14ac:dyDescent="0.2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 x14ac:dyDescent="0.2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 x14ac:dyDescent="0.2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 x14ac:dyDescent="0.2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 x14ac:dyDescent="0.2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 x14ac:dyDescent="0.2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 x14ac:dyDescent="0.2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 x14ac:dyDescent="0.2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 x14ac:dyDescent="0.2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 x14ac:dyDescent="0.2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 x14ac:dyDescent="0.2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 x14ac:dyDescent="0.2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 x14ac:dyDescent="0.2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 x14ac:dyDescent="0.2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 x14ac:dyDescent="0.2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 x14ac:dyDescent="0.2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 x14ac:dyDescent="0.2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 x14ac:dyDescent="0.2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 x14ac:dyDescent="0.2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 x14ac:dyDescent="0.2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 x14ac:dyDescent="0.2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 x14ac:dyDescent="0.2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 x14ac:dyDescent="0.2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 x14ac:dyDescent="0.2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 x14ac:dyDescent="0.2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 x14ac:dyDescent="0.2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 x14ac:dyDescent="0.2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 x14ac:dyDescent="0.2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 x14ac:dyDescent="0.2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 x14ac:dyDescent="0.2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 x14ac:dyDescent="0.2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 x14ac:dyDescent="0.2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 x14ac:dyDescent="0.2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 x14ac:dyDescent="0.2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 x14ac:dyDescent="0.2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 x14ac:dyDescent="0.2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 x14ac:dyDescent="0.2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 x14ac:dyDescent="0.2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 x14ac:dyDescent="0.2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 x14ac:dyDescent="0.2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 x14ac:dyDescent="0.2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 x14ac:dyDescent="0.2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 x14ac:dyDescent="0.2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 x14ac:dyDescent="0.2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 x14ac:dyDescent="0.2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 x14ac:dyDescent="0.2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 x14ac:dyDescent="0.2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 x14ac:dyDescent="0.2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 x14ac:dyDescent="0.2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 x14ac:dyDescent="0.2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 x14ac:dyDescent="0.2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 x14ac:dyDescent="0.2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 x14ac:dyDescent="0.2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 x14ac:dyDescent="0.2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 x14ac:dyDescent="0.2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 x14ac:dyDescent="0.2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 x14ac:dyDescent="0.2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 x14ac:dyDescent="0.2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 x14ac:dyDescent="0.2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 x14ac:dyDescent="0.2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 x14ac:dyDescent="0.2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 x14ac:dyDescent="0.2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 x14ac:dyDescent="0.2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 x14ac:dyDescent="0.2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 x14ac:dyDescent="0.2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 x14ac:dyDescent="0.2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 x14ac:dyDescent="0.2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 x14ac:dyDescent="0.2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 x14ac:dyDescent="0.2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 x14ac:dyDescent="0.2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 x14ac:dyDescent="0.2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 x14ac:dyDescent="0.2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 x14ac:dyDescent="0.2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 x14ac:dyDescent="0.2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 x14ac:dyDescent="0.2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 x14ac:dyDescent="0.2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 x14ac:dyDescent="0.2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 x14ac:dyDescent="0.2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 x14ac:dyDescent="0.2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 x14ac:dyDescent="0.2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 x14ac:dyDescent="0.2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 x14ac:dyDescent="0.2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 x14ac:dyDescent="0.2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 x14ac:dyDescent="0.2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 x14ac:dyDescent="0.2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 x14ac:dyDescent="0.2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 x14ac:dyDescent="0.2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 x14ac:dyDescent="0.2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 x14ac:dyDescent="0.2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 x14ac:dyDescent="0.2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 x14ac:dyDescent="0.2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 x14ac:dyDescent="0.2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 x14ac:dyDescent="0.2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 x14ac:dyDescent="0.2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 x14ac:dyDescent="0.2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 x14ac:dyDescent="0.2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 x14ac:dyDescent="0.2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 x14ac:dyDescent="0.2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 x14ac:dyDescent="0.2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 x14ac:dyDescent="0.2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 x14ac:dyDescent="0.2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 x14ac:dyDescent="0.2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 x14ac:dyDescent="0.2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 x14ac:dyDescent="0.2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 x14ac:dyDescent="0.2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 x14ac:dyDescent="0.2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 x14ac:dyDescent="0.2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 x14ac:dyDescent="0.2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 x14ac:dyDescent="0.2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 x14ac:dyDescent="0.2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 x14ac:dyDescent="0.2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 x14ac:dyDescent="0.2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 x14ac:dyDescent="0.2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 x14ac:dyDescent="0.2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 x14ac:dyDescent="0.2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 x14ac:dyDescent="0.2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 x14ac:dyDescent="0.2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 x14ac:dyDescent="0.2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 x14ac:dyDescent="0.2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 x14ac:dyDescent="0.2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 x14ac:dyDescent="0.2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 x14ac:dyDescent="0.2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 x14ac:dyDescent="0.2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 x14ac:dyDescent="0.2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 x14ac:dyDescent="0.2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 x14ac:dyDescent="0.2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 x14ac:dyDescent="0.2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 x14ac:dyDescent="0.2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 x14ac:dyDescent="0.2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 x14ac:dyDescent="0.2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 x14ac:dyDescent="0.2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 x14ac:dyDescent="0.2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 x14ac:dyDescent="0.2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 x14ac:dyDescent="0.2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 x14ac:dyDescent="0.2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 x14ac:dyDescent="0.2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 x14ac:dyDescent="0.2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 x14ac:dyDescent="0.2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 x14ac:dyDescent="0.2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 x14ac:dyDescent="0.2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 x14ac:dyDescent="0.2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 x14ac:dyDescent="0.2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 x14ac:dyDescent="0.2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 x14ac:dyDescent="0.2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 x14ac:dyDescent="0.2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 x14ac:dyDescent="0.2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 x14ac:dyDescent="0.2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 x14ac:dyDescent="0.2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 x14ac:dyDescent="0.2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 x14ac:dyDescent="0.2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 x14ac:dyDescent="0.2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 x14ac:dyDescent="0.2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 x14ac:dyDescent="0.2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 x14ac:dyDescent="0.2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 x14ac:dyDescent="0.2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 x14ac:dyDescent="0.2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 x14ac:dyDescent="0.2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 x14ac:dyDescent="0.2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 x14ac:dyDescent="0.2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 x14ac:dyDescent="0.2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 x14ac:dyDescent="0.2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 x14ac:dyDescent="0.2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 x14ac:dyDescent="0.2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 x14ac:dyDescent="0.2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 x14ac:dyDescent="0.2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 x14ac:dyDescent="0.2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 x14ac:dyDescent="0.2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 x14ac:dyDescent="0.2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 x14ac:dyDescent="0.2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 x14ac:dyDescent="0.2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 x14ac:dyDescent="0.2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 x14ac:dyDescent="0.2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 x14ac:dyDescent="0.2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 x14ac:dyDescent="0.2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 x14ac:dyDescent="0.2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 x14ac:dyDescent="0.2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 x14ac:dyDescent="0.2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 x14ac:dyDescent="0.2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 x14ac:dyDescent="0.2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 x14ac:dyDescent="0.2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 x14ac:dyDescent="0.2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 x14ac:dyDescent="0.2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 x14ac:dyDescent="0.2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 x14ac:dyDescent="0.2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 x14ac:dyDescent="0.2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 x14ac:dyDescent="0.2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 x14ac:dyDescent="0.2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 x14ac:dyDescent="0.2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 x14ac:dyDescent="0.2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 x14ac:dyDescent="0.2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 x14ac:dyDescent="0.2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 x14ac:dyDescent="0.2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 x14ac:dyDescent="0.2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 x14ac:dyDescent="0.2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 x14ac:dyDescent="0.2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 x14ac:dyDescent="0.2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 x14ac:dyDescent="0.2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 x14ac:dyDescent="0.2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 x14ac:dyDescent="0.2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 x14ac:dyDescent="0.2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 x14ac:dyDescent="0.2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 x14ac:dyDescent="0.2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 x14ac:dyDescent="0.2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 x14ac:dyDescent="0.2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 x14ac:dyDescent="0.2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 x14ac:dyDescent="0.2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 x14ac:dyDescent="0.2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 x14ac:dyDescent="0.2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 x14ac:dyDescent="0.2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 x14ac:dyDescent="0.2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 x14ac:dyDescent="0.2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 x14ac:dyDescent="0.2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 x14ac:dyDescent="0.2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 x14ac:dyDescent="0.2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 x14ac:dyDescent="0.2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 x14ac:dyDescent="0.2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 x14ac:dyDescent="0.2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 x14ac:dyDescent="0.2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 x14ac:dyDescent="0.2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 x14ac:dyDescent="0.2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 x14ac:dyDescent="0.2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 x14ac:dyDescent="0.2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 x14ac:dyDescent="0.2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 x14ac:dyDescent="0.2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 x14ac:dyDescent="0.2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 x14ac:dyDescent="0.2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 x14ac:dyDescent="0.2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 x14ac:dyDescent="0.2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 x14ac:dyDescent="0.2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 x14ac:dyDescent="0.2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 x14ac:dyDescent="0.2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 x14ac:dyDescent="0.2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 x14ac:dyDescent="0.2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 x14ac:dyDescent="0.2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 x14ac:dyDescent="0.2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 x14ac:dyDescent="0.2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 x14ac:dyDescent="0.2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 x14ac:dyDescent="0.2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 x14ac:dyDescent="0.2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 x14ac:dyDescent="0.2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 x14ac:dyDescent="0.2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 x14ac:dyDescent="0.2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 x14ac:dyDescent="0.2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 x14ac:dyDescent="0.2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 x14ac:dyDescent="0.2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 x14ac:dyDescent="0.2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 x14ac:dyDescent="0.2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 x14ac:dyDescent="0.2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 x14ac:dyDescent="0.2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 x14ac:dyDescent="0.2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 x14ac:dyDescent="0.2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 x14ac:dyDescent="0.2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 x14ac:dyDescent="0.2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 x14ac:dyDescent="0.2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 x14ac:dyDescent="0.2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 x14ac:dyDescent="0.2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 x14ac:dyDescent="0.2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 x14ac:dyDescent="0.2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 x14ac:dyDescent="0.2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 x14ac:dyDescent="0.2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 x14ac:dyDescent="0.2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 x14ac:dyDescent="0.2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 x14ac:dyDescent="0.2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 x14ac:dyDescent="0.2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 x14ac:dyDescent="0.2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 x14ac:dyDescent="0.2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 x14ac:dyDescent="0.2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 x14ac:dyDescent="0.2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 x14ac:dyDescent="0.2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 x14ac:dyDescent="0.2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 x14ac:dyDescent="0.2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 x14ac:dyDescent="0.2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 x14ac:dyDescent="0.2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 x14ac:dyDescent="0.2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 x14ac:dyDescent="0.2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 x14ac:dyDescent="0.2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 x14ac:dyDescent="0.2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 x14ac:dyDescent="0.2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 x14ac:dyDescent="0.2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 x14ac:dyDescent="0.2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 x14ac:dyDescent="0.2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 x14ac:dyDescent="0.2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 x14ac:dyDescent="0.2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 x14ac:dyDescent="0.2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 x14ac:dyDescent="0.2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 x14ac:dyDescent="0.2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 x14ac:dyDescent="0.2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 x14ac:dyDescent="0.2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 x14ac:dyDescent="0.2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 x14ac:dyDescent="0.2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 x14ac:dyDescent="0.2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 x14ac:dyDescent="0.2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 x14ac:dyDescent="0.2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 x14ac:dyDescent="0.2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 x14ac:dyDescent="0.2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 x14ac:dyDescent="0.2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 x14ac:dyDescent="0.2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 x14ac:dyDescent="0.2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 x14ac:dyDescent="0.2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 x14ac:dyDescent="0.2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 x14ac:dyDescent="0.2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 x14ac:dyDescent="0.2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 x14ac:dyDescent="0.2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 x14ac:dyDescent="0.2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 x14ac:dyDescent="0.2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 x14ac:dyDescent="0.2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 x14ac:dyDescent="0.2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 x14ac:dyDescent="0.2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 x14ac:dyDescent="0.2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 x14ac:dyDescent="0.2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 x14ac:dyDescent="0.2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 x14ac:dyDescent="0.2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 x14ac:dyDescent="0.2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 x14ac:dyDescent="0.2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 x14ac:dyDescent="0.2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 x14ac:dyDescent="0.2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 x14ac:dyDescent="0.2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 x14ac:dyDescent="0.2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 x14ac:dyDescent="0.2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 x14ac:dyDescent="0.2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 x14ac:dyDescent="0.2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 x14ac:dyDescent="0.2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 x14ac:dyDescent="0.2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 x14ac:dyDescent="0.2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 x14ac:dyDescent="0.2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 x14ac:dyDescent="0.2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 x14ac:dyDescent="0.2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 x14ac:dyDescent="0.2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 x14ac:dyDescent="0.2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 x14ac:dyDescent="0.2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 x14ac:dyDescent="0.2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 x14ac:dyDescent="0.2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 x14ac:dyDescent="0.2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 x14ac:dyDescent="0.2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 x14ac:dyDescent="0.2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 x14ac:dyDescent="0.2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 x14ac:dyDescent="0.2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 x14ac:dyDescent="0.2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 x14ac:dyDescent="0.2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 x14ac:dyDescent="0.2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 x14ac:dyDescent="0.2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 x14ac:dyDescent="0.2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 x14ac:dyDescent="0.2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 x14ac:dyDescent="0.2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 x14ac:dyDescent="0.2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 x14ac:dyDescent="0.2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 x14ac:dyDescent="0.2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 x14ac:dyDescent="0.2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 x14ac:dyDescent="0.2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 x14ac:dyDescent="0.2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 x14ac:dyDescent="0.2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 x14ac:dyDescent="0.2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 x14ac:dyDescent="0.2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 x14ac:dyDescent="0.2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 x14ac:dyDescent="0.2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 x14ac:dyDescent="0.2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 x14ac:dyDescent="0.2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 x14ac:dyDescent="0.2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 x14ac:dyDescent="0.2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 x14ac:dyDescent="0.2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 x14ac:dyDescent="0.2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 x14ac:dyDescent="0.2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 x14ac:dyDescent="0.2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 x14ac:dyDescent="0.2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 x14ac:dyDescent="0.2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 x14ac:dyDescent="0.2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 x14ac:dyDescent="0.2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 x14ac:dyDescent="0.2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 x14ac:dyDescent="0.2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 x14ac:dyDescent="0.2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 x14ac:dyDescent="0.2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 x14ac:dyDescent="0.2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 x14ac:dyDescent="0.2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 x14ac:dyDescent="0.2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 x14ac:dyDescent="0.2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 x14ac:dyDescent="0.2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 x14ac:dyDescent="0.2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 x14ac:dyDescent="0.2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 x14ac:dyDescent="0.2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 x14ac:dyDescent="0.2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 x14ac:dyDescent="0.2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 x14ac:dyDescent="0.2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 x14ac:dyDescent="0.2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 x14ac:dyDescent="0.2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 x14ac:dyDescent="0.2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 x14ac:dyDescent="0.2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 x14ac:dyDescent="0.2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 x14ac:dyDescent="0.2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 x14ac:dyDescent="0.2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 x14ac:dyDescent="0.2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 x14ac:dyDescent="0.2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 x14ac:dyDescent="0.2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 x14ac:dyDescent="0.2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 x14ac:dyDescent="0.2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 x14ac:dyDescent="0.2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 x14ac:dyDescent="0.2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 x14ac:dyDescent="0.2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 x14ac:dyDescent="0.2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 x14ac:dyDescent="0.2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 x14ac:dyDescent="0.2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 x14ac:dyDescent="0.2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 x14ac:dyDescent="0.2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 x14ac:dyDescent="0.2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 x14ac:dyDescent="0.2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 x14ac:dyDescent="0.2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 x14ac:dyDescent="0.2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 x14ac:dyDescent="0.2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 x14ac:dyDescent="0.2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 x14ac:dyDescent="0.2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 x14ac:dyDescent="0.2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 x14ac:dyDescent="0.2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 x14ac:dyDescent="0.2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 x14ac:dyDescent="0.2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 x14ac:dyDescent="0.2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 x14ac:dyDescent="0.2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 x14ac:dyDescent="0.2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 x14ac:dyDescent="0.2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 x14ac:dyDescent="0.2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 x14ac:dyDescent="0.2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 x14ac:dyDescent="0.2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 x14ac:dyDescent="0.2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 x14ac:dyDescent="0.2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 x14ac:dyDescent="0.2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 x14ac:dyDescent="0.2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 x14ac:dyDescent="0.2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 x14ac:dyDescent="0.2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 x14ac:dyDescent="0.2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 x14ac:dyDescent="0.2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 x14ac:dyDescent="0.2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 x14ac:dyDescent="0.2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 x14ac:dyDescent="0.2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 x14ac:dyDescent="0.2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 x14ac:dyDescent="0.2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 x14ac:dyDescent="0.2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 x14ac:dyDescent="0.2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 x14ac:dyDescent="0.2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 x14ac:dyDescent="0.2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 x14ac:dyDescent="0.2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 x14ac:dyDescent="0.2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 x14ac:dyDescent="0.2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 x14ac:dyDescent="0.2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 x14ac:dyDescent="0.2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 x14ac:dyDescent="0.2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 x14ac:dyDescent="0.2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 x14ac:dyDescent="0.2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 x14ac:dyDescent="0.2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 x14ac:dyDescent="0.2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 x14ac:dyDescent="0.2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 x14ac:dyDescent="0.2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 x14ac:dyDescent="0.2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 x14ac:dyDescent="0.2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 x14ac:dyDescent="0.2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 x14ac:dyDescent="0.2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 x14ac:dyDescent="0.2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 x14ac:dyDescent="0.2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 x14ac:dyDescent="0.2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 x14ac:dyDescent="0.2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 x14ac:dyDescent="0.2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 x14ac:dyDescent="0.2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 x14ac:dyDescent="0.2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 x14ac:dyDescent="0.2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 x14ac:dyDescent="0.2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 x14ac:dyDescent="0.2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 x14ac:dyDescent="0.2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 x14ac:dyDescent="0.2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 x14ac:dyDescent="0.2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 x14ac:dyDescent="0.2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 x14ac:dyDescent="0.2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 x14ac:dyDescent="0.2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 x14ac:dyDescent="0.2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 x14ac:dyDescent="0.2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 x14ac:dyDescent="0.2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 x14ac:dyDescent="0.2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 x14ac:dyDescent="0.2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 x14ac:dyDescent="0.2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 x14ac:dyDescent="0.2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 x14ac:dyDescent="0.2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 x14ac:dyDescent="0.2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 x14ac:dyDescent="0.2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 x14ac:dyDescent="0.2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 x14ac:dyDescent="0.2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 x14ac:dyDescent="0.2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 x14ac:dyDescent="0.2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 x14ac:dyDescent="0.2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 x14ac:dyDescent="0.2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 x14ac:dyDescent="0.2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 x14ac:dyDescent="0.2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 x14ac:dyDescent="0.2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 x14ac:dyDescent="0.2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 x14ac:dyDescent="0.2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 x14ac:dyDescent="0.2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 x14ac:dyDescent="0.2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 x14ac:dyDescent="0.2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 x14ac:dyDescent="0.2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 x14ac:dyDescent="0.2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 x14ac:dyDescent="0.2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 x14ac:dyDescent="0.2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 x14ac:dyDescent="0.2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 x14ac:dyDescent="0.2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 x14ac:dyDescent="0.2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 x14ac:dyDescent="0.2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 x14ac:dyDescent="0.2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 x14ac:dyDescent="0.2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 x14ac:dyDescent="0.2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 x14ac:dyDescent="0.2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 x14ac:dyDescent="0.2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 x14ac:dyDescent="0.2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 x14ac:dyDescent="0.2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 x14ac:dyDescent="0.2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 x14ac:dyDescent="0.2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 x14ac:dyDescent="0.2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 x14ac:dyDescent="0.2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 x14ac:dyDescent="0.2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 x14ac:dyDescent="0.2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 x14ac:dyDescent="0.2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 x14ac:dyDescent="0.2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 x14ac:dyDescent="0.2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 x14ac:dyDescent="0.2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 x14ac:dyDescent="0.2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 x14ac:dyDescent="0.2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 x14ac:dyDescent="0.2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 x14ac:dyDescent="0.2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 x14ac:dyDescent="0.2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 x14ac:dyDescent="0.2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 x14ac:dyDescent="0.2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 x14ac:dyDescent="0.2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 x14ac:dyDescent="0.2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 x14ac:dyDescent="0.2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 x14ac:dyDescent="0.2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 x14ac:dyDescent="0.2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 x14ac:dyDescent="0.2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 x14ac:dyDescent="0.2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 x14ac:dyDescent="0.2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 x14ac:dyDescent="0.2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 x14ac:dyDescent="0.2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 x14ac:dyDescent="0.2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 x14ac:dyDescent="0.2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 x14ac:dyDescent="0.2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 x14ac:dyDescent="0.2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 x14ac:dyDescent="0.2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 x14ac:dyDescent="0.2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 x14ac:dyDescent="0.2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 x14ac:dyDescent="0.2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 x14ac:dyDescent="0.2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 x14ac:dyDescent="0.2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 x14ac:dyDescent="0.2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 x14ac:dyDescent="0.2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 x14ac:dyDescent="0.2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 x14ac:dyDescent="0.2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 x14ac:dyDescent="0.2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 x14ac:dyDescent="0.2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 x14ac:dyDescent="0.2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 x14ac:dyDescent="0.2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 x14ac:dyDescent="0.2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 x14ac:dyDescent="0.2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 x14ac:dyDescent="0.2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 x14ac:dyDescent="0.2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 x14ac:dyDescent="0.2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 x14ac:dyDescent="0.2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 x14ac:dyDescent="0.2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 x14ac:dyDescent="0.2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 x14ac:dyDescent="0.2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 x14ac:dyDescent="0.2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 x14ac:dyDescent="0.2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 x14ac:dyDescent="0.2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 x14ac:dyDescent="0.2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 x14ac:dyDescent="0.2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 x14ac:dyDescent="0.2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 x14ac:dyDescent="0.2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 x14ac:dyDescent="0.2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 x14ac:dyDescent="0.2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 x14ac:dyDescent="0.2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 x14ac:dyDescent="0.2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 x14ac:dyDescent="0.2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 x14ac:dyDescent="0.2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 x14ac:dyDescent="0.2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 x14ac:dyDescent="0.2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 x14ac:dyDescent="0.2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 x14ac:dyDescent="0.2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 x14ac:dyDescent="0.2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 x14ac:dyDescent="0.2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 x14ac:dyDescent="0.2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 x14ac:dyDescent="0.2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 x14ac:dyDescent="0.2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 x14ac:dyDescent="0.2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 x14ac:dyDescent="0.2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 x14ac:dyDescent="0.2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 x14ac:dyDescent="0.2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 x14ac:dyDescent="0.2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 x14ac:dyDescent="0.2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 x14ac:dyDescent="0.2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 x14ac:dyDescent="0.2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 x14ac:dyDescent="0.2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 x14ac:dyDescent="0.2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 x14ac:dyDescent="0.2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 x14ac:dyDescent="0.2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 x14ac:dyDescent="0.2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 x14ac:dyDescent="0.2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 x14ac:dyDescent="0.2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 x14ac:dyDescent="0.2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 x14ac:dyDescent="0.2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 x14ac:dyDescent="0.2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 x14ac:dyDescent="0.2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 x14ac:dyDescent="0.2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 x14ac:dyDescent="0.2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 x14ac:dyDescent="0.2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 x14ac:dyDescent="0.2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 x14ac:dyDescent="0.2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 x14ac:dyDescent="0.2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 x14ac:dyDescent="0.2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 x14ac:dyDescent="0.2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 x14ac:dyDescent="0.2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 x14ac:dyDescent="0.2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 x14ac:dyDescent="0.2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 x14ac:dyDescent="0.2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 x14ac:dyDescent="0.2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 x14ac:dyDescent="0.2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 x14ac:dyDescent="0.2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 x14ac:dyDescent="0.2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 x14ac:dyDescent="0.2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 x14ac:dyDescent="0.2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 x14ac:dyDescent="0.2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 x14ac:dyDescent="0.2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 x14ac:dyDescent="0.2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 x14ac:dyDescent="0.2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 x14ac:dyDescent="0.2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 x14ac:dyDescent="0.2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 x14ac:dyDescent="0.2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 x14ac:dyDescent="0.2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 x14ac:dyDescent="0.2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 x14ac:dyDescent="0.2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 x14ac:dyDescent="0.2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 x14ac:dyDescent="0.2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 x14ac:dyDescent="0.2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 x14ac:dyDescent="0.2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 x14ac:dyDescent="0.2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 x14ac:dyDescent="0.2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 x14ac:dyDescent="0.2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 x14ac:dyDescent="0.2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 x14ac:dyDescent="0.2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 x14ac:dyDescent="0.2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 x14ac:dyDescent="0.2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 x14ac:dyDescent="0.2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 x14ac:dyDescent="0.2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 x14ac:dyDescent="0.2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 x14ac:dyDescent="0.2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 x14ac:dyDescent="0.2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 x14ac:dyDescent="0.2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 x14ac:dyDescent="0.2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 x14ac:dyDescent="0.2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 x14ac:dyDescent="0.2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 x14ac:dyDescent="0.2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 x14ac:dyDescent="0.2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 x14ac:dyDescent="0.2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 x14ac:dyDescent="0.2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 x14ac:dyDescent="0.2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 x14ac:dyDescent="0.2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 x14ac:dyDescent="0.2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 x14ac:dyDescent="0.2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 x14ac:dyDescent="0.2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 x14ac:dyDescent="0.2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 x14ac:dyDescent="0.2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 x14ac:dyDescent="0.2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 x14ac:dyDescent="0.2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 x14ac:dyDescent="0.2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 x14ac:dyDescent="0.2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 x14ac:dyDescent="0.2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 x14ac:dyDescent="0.2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 x14ac:dyDescent="0.2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 x14ac:dyDescent="0.2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 x14ac:dyDescent="0.2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 x14ac:dyDescent="0.2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 x14ac:dyDescent="0.2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 x14ac:dyDescent="0.2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 x14ac:dyDescent="0.2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 x14ac:dyDescent="0.2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 x14ac:dyDescent="0.2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 x14ac:dyDescent="0.2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 x14ac:dyDescent="0.2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 x14ac:dyDescent="0.2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 x14ac:dyDescent="0.2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 x14ac:dyDescent="0.2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 x14ac:dyDescent="0.2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 x14ac:dyDescent="0.2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 x14ac:dyDescent="0.2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 x14ac:dyDescent="0.2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 x14ac:dyDescent="0.2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 x14ac:dyDescent="0.2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 x14ac:dyDescent="0.2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 x14ac:dyDescent="0.2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 x14ac:dyDescent="0.2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 x14ac:dyDescent="0.2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 x14ac:dyDescent="0.2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 x14ac:dyDescent="0.2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 x14ac:dyDescent="0.2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 x14ac:dyDescent="0.2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 x14ac:dyDescent="0.2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 x14ac:dyDescent="0.2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 x14ac:dyDescent="0.2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 x14ac:dyDescent="0.2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 x14ac:dyDescent="0.2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 x14ac:dyDescent="0.2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 x14ac:dyDescent="0.2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 x14ac:dyDescent="0.2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 x14ac:dyDescent="0.2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 x14ac:dyDescent="0.2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 x14ac:dyDescent="0.2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 x14ac:dyDescent="0.2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 x14ac:dyDescent="0.2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 x14ac:dyDescent="0.2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 x14ac:dyDescent="0.2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 x14ac:dyDescent="0.2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 x14ac:dyDescent="0.2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 x14ac:dyDescent="0.2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 x14ac:dyDescent="0.2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 x14ac:dyDescent="0.2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 x14ac:dyDescent="0.2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 x14ac:dyDescent="0.2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 x14ac:dyDescent="0.2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 x14ac:dyDescent="0.2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 x14ac:dyDescent="0.2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 x14ac:dyDescent="0.2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 x14ac:dyDescent="0.2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 x14ac:dyDescent="0.2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 x14ac:dyDescent="0.2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 x14ac:dyDescent="0.2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 x14ac:dyDescent="0.2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 x14ac:dyDescent="0.2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 x14ac:dyDescent="0.2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 x14ac:dyDescent="0.2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 x14ac:dyDescent="0.2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 x14ac:dyDescent="0.2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 x14ac:dyDescent="0.2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 x14ac:dyDescent="0.2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 x14ac:dyDescent="0.2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 x14ac:dyDescent="0.2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 x14ac:dyDescent="0.2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 x14ac:dyDescent="0.2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 x14ac:dyDescent="0.2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 x14ac:dyDescent="0.2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 x14ac:dyDescent="0.2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 x14ac:dyDescent="0.2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 x14ac:dyDescent="0.2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 x14ac:dyDescent="0.2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 x14ac:dyDescent="0.2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 x14ac:dyDescent="0.2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 x14ac:dyDescent="0.2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 x14ac:dyDescent="0.2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 x14ac:dyDescent="0.2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 x14ac:dyDescent="0.2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 x14ac:dyDescent="0.2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 x14ac:dyDescent="0.2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 x14ac:dyDescent="0.2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 x14ac:dyDescent="0.2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 x14ac:dyDescent="0.2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 x14ac:dyDescent="0.2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 x14ac:dyDescent="0.2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 x14ac:dyDescent="0.2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 x14ac:dyDescent="0.2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 x14ac:dyDescent="0.2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 x14ac:dyDescent="0.2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 x14ac:dyDescent="0.2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 x14ac:dyDescent="0.2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 x14ac:dyDescent="0.2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 x14ac:dyDescent="0.2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 x14ac:dyDescent="0.2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 x14ac:dyDescent="0.2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 x14ac:dyDescent="0.2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 x14ac:dyDescent="0.2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 x14ac:dyDescent="0.2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 x14ac:dyDescent="0.2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 x14ac:dyDescent="0.2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 x14ac:dyDescent="0.2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 x14ac:dyDescent="0.2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 x14ac:dyDescent="0.2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 x14ac:dyDescent="0.2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 x14ac:dyDescent="0.2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 x14ac:dyDescent="0.2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 x14ac:dyDescent="0.2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 x14ac:dyDescent="0.2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 x14ac:dyDescent="0.2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 x14ac:dyDescent="0.2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 x14ac:dyDescent="0.2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 x14ac:dyDescent="0.2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 x14ac:dyDescent="0.2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 x14ac:dyDescent="0.2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 x14ac:dyDescent="0.2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 x14ac:dyDescent="0.2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 x14ac:dyDescent="0.2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 x14ac:dyDescent="0.2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 x14ac:dyDescent="0.2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 x14ac:dyDescent="0.2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 x14ac:dyDescent="0.2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 x14ac:dyDescent="0.2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 x14ac:dyDescent="0.2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 x14ac:dyDescent="0.2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 x14ac:dyDescent="0.2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 x14ac:dyDescent="0.2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 x14ac:dyDescent="0.2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 x14ac:dyDescent="0.2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 x14ac:dyDescent="0.2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 x14ac:dyDescent="0.2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 x14ac:dyDescent="0.2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 x14ac:dyDescent="0.2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 x14ac:dyDescent="0.2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 x14ac:dyDescent="0.2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 x14ac:dyDescent="0.2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 x14ac:dyDescent="0.2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 x14ac:dyDescent="0.2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 x14ac:dyDescent="0.2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 x14ac:dyDescent="0.2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 x14ac:dyDescent="0.2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 x14ac:dyDescent="0.2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 x14ac:dyDescent="0.2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 x14ac:dyDescent="0.2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 x14ac:dyDescent="0.2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 x14ac:dyDescent="0.2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 x14ac:dyDescent="0.2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 x14ac:dyDescent="0.2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 x14ac:dyDescent="0.2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 x14ac:dyDescent="0.2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 x14ac:dyDescent="0.2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 x14ac:dyDescent="0.2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 x14ac:dyDescent="0.2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 x14ac:dyDescent="0.2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 x14ac:dyDescent="0.2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 x14ac:dyDescent="0.2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 x14ac:dyDescent="0.2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 x14ac:dyDescent="0.2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 x14ac:dyDescent="0.2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 x14ac:dyDescent="0.2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 x14ac:dyDescent="0.2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 x14ac:dyDescent="0.2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 x14ac:dyDescent="0.2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 x14ac:dyDescent="0.2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 x14ac:dyDescent="0.2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 x14ac:dyDescent="0.2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 x14ac:dyDescent="0.2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 x14ac:dyDescent="0.2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 x14ac:dyDescent="0.2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 x14ac:dyDescent="0.2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 x14ac:dyDescent="0.2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 x14ac:dyDescent="0.2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 x14ac:dyDescent="0.2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 x14ac:dyDescent="0.2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 x14ac:dyDescent="0.2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 x14ac:dyDescent="0.2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 x14ac:dyDescent="0.2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 x14ac:dyDescent="0.2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 x14ac:dyDescent="0.2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 x14ac:dyDescent="0.2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 x14ac:dyDescent="0.2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 x14ac:dyDescent="0.2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 x14ac:dyDescent="0.2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 x14ac:dyDescent="0.2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 x14ac:dyDescent="0.2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 x14ac:dyDescent="0.2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 x14ac:dyDescent="0.2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 x14ac:dyDescent="0.2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 x14ac:dyDescent="0.2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 x14ac:dyDescent="0.2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 x14ac:dyDescent="0.2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 x14ac:dyDescent="0.2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 x14ac:dyDescent="0.2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 x14ac:dyDescent="0.2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 x14ac:dyDescent="0.2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 x14ac:dyDescent="0.2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 x14ac:dyDescent="0.2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 x14ac:dyDescent="0.2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 x14ac:dyDescent="0.2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 x14ac:dyDescent="0.2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 x14ac:dyDescent="0.2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 x14ac:dyDescent="0.2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 x14ac:dyDescent="0.2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 x14ac:dyDescent="0.2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 x14ac:dyDescent="0.2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 x14ac:dyDescent="0.2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 x14ac:dyDescent="0.2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 x14ac:dyDescent="0.2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 x14ac:dyDescent="0.2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 x14ac:dyDescent="0.2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 x14ac:dyDescent="0.2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 x14ac:dyDescent="0.2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 x14ac:dyDescent="0.2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 x14ac:dyDescent="0.2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 x14ac:dyDescent="0.2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 x14ac:dyDescent="0.2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 x14ac:dyDescent="0.2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 x14ac:dyDescent="0.2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 x14ac:dyDescent="0.2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 x14ac:dyDescent="0.2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 x14ac:dyDescent="0.2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 x14ac:dyDescent="0.2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 x14ac:dyDescent="0.2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 x14ac:dyDescent="0.2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 x14ac:dyDescent="0.2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 x14ac:dyDescent="0.2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 x14ac:dyDescent="0.2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 x14ac:dyDescent="0.2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 x14ac:dyDescent="0.2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 x14ac:dyDescent="0.2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 x14ac:dyDescent="0.2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 x14ac:dyDescent="0.2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 x14ac:dyDescent="0.2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 x14ac:dyDescent="0.2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 x14ac:dyDescent="0.2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 x14ac:dyDescent="0.2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 x14ac:dyDescent="0.2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 x14ac:dyDescent="0.2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 x14ac:dyDescent="0.2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 x14ac:dyDescent="0.2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 x14ac:dyDescent="0.2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 x14ac:dyDescent="0.2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 x14ac:dyDescent="0.2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 x14ac:dyDescent="0.2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 x14ac:dyDescent="0.2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 x14ac:dyDescent="0.2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 x14ac:dyDescent="0.2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 x14ac:dyDescent="0.2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 x14ac:dyDescent="0.2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 x14ac:dyDescent="0.2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 x14ac:dyDescent="0.2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 x14ac:dyDescent="0.2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 x14ac:dyDescent="0.2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 x14ac:dyDescent="0.2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 x14ac:dyDescent="0.2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 x14ac:dyDescent="0.2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 x14ac:dyDescent="0.2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 x14ac:dyDescent="0.2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 x14ac:dyDescent="0.2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 x14ac:dyDescent="0.2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 x14ac:dyDescent="0.2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 x14ac:dyDescent="0.2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 x14ac:dyDescent="0.2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 x14ac:dyDescent="0.2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 x14ac:dyDescent="0.2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 x14ac:dyDescent="0.2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 x14ac:dyDescent="0.2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 x14ac:dyDescent="0.2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 x14ac:dyDescent="0.2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 x14ac:dyDescent="0.2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 x14ac:dyDescent="0.2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 x14ac:dyDescent="0.2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 x14ac:dyDescent="0.2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 x14ac:dyDescent="0.2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 x14ac:dyDescent="0.2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 x14ac:dyDescent="0.2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 x14ac:dyDescent="0.2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 x14ac:dyDescent="0.2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 x14ac:dyDescent="0.2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 x14ac:dyDescent="0.2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 x14ac:dyDescent="0.2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 x14ac:dyDescent="0.2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 x14ac:dyDescent="0.2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 x14ac:dyDescent="0.2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 x14ac:dyDescent="0.2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 x14ac:dyDescent="0.2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 x14ac:dyDescent="0.2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 x14ac:dyDescent="0.2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 x14ac:dyDescent="0.2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 x14ac:dyDescent="0.2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 x14ac:dyDescent="0.2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 x14ac:dyDescent="0.2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 x14ac:dyDescent="0.2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 x14ac:dyDescent="0.2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 x14ac:dyDescent="0.2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 x14ac:dyDescent="0.2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 x14ac:dyDescent="0.2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 x14ac:dyDescent="0.2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 x14ac:dyDescent="0.2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 x14ac:dyDescent="0.2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 x14ac:dyDescent="0.2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 x14ac:dyDescent="0.2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 x14ac:dyDescent="0.2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 x14ac:dyDescent="0.2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 x14ac:dyDescent="0.2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 x14ac:dyDescent="0.2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 x14ac:dyDescent="0.2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 x14ac:dyDescent="0.2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 x14ac:dyDescent="0.2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 x14ac:dyDescent="0.2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 x14ac:dyDescent="0.2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 x14ac:dyDescent="0.2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 x14ac:dyDescent="0.2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 x14ac:dyDescent="0.2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 x14ac:dyDescent="0.2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 x14ac:dyDescent="0.2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 x14ac:dyDescent="0.2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 x14ac:dyDescent="0.2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 x14ac:dyDescent="0.2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 x14ac:dyDescent="0.2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 x14ac:dyDescent="0.2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 x14ac:dyDescent="0.2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 x14ac:dyDescent="0.2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 x14ac:dyDescent="0.2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 x14ac:dyDescent="0.2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 x14ac:dyDescent="0.2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 x14ac:dyDescent="0.2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 x14ac:dyDescent="0.2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 x14ac:dyDescent="0.2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 x14ac:dyDescent="0.2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 x14ac:dyDescent="0.2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 x14ac:dyDescent="0.2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 x14ac:dyDescent="0.2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 x14ac:dyDescent="0.2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 x14ac:dyDescent="0.2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 x14ac:dyDescent="0.2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 x14ac:dyDescent="0.2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 x14ac:dyDescent="0.2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 x14ac:dyDescent="0.2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 x14ac:dyDescent="0.2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 x14ac:dyDescent="0.2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 x14ac:dyDescent="0.2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 x14ac:dyDescent="0.2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 x14ac:dyDescent="0.2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 x14ac:dyDescent="0.2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 x14ac:dyDescent="0.2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 x14ac:dyDescent="0.2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 x14ac:dyDescent="0.2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 x14ac:dyDescent="0.2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 x14ac:dyDescent="0.2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 x14ac:dyDescent="0.2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 x14ac:dyDescent="0.2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 x14ac:dyDescent="0.2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 x14ac:dyDescent="0.2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 x14ac:dyDescent="0.2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 x14ac:dyDescent="0.2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 x14ac:dyDescent="0.2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 x14ac:dyDescent="0.2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 x14ac:dyDescent="0.2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 x14ac:dyDescent="0.2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 x14ac:dyDescent="0.2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 x14ac:dyDescent="0.2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 x14ac:dyDescent="0.2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 x14ac:dyDescent="0.2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 x14ac:dyDescent="0.2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 x14ac:dyDescent="0.2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 x14ac:dyDescent="0.2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 x14ac:dyDescent="0.2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 x14ac:dyDescent="0.2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 x14ac:dyDescent="0.2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 x14ac:dyDescent="0.2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 x14ac:dyDescent="0.2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 x14ac:dyDescent="0.2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 x14ac:dyDescent="0.2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 x14ac:dyDescent="0.2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 x14ac:dyDescent="0.2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 x14ac:dyDescent="0.2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 x14ac:dyDescent="0.2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 x14ac:dyDescent="0.2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 x14ac:dyDescent="0.2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 x14ac:dyDescent="0.2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 x14ac:dyDescent="0.2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 x14ac:dyDescent="0.2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 x14ac:dyDescent="0.2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 x14ac:dyDescent="0.2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 x14ac:dyDescent="0.2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 x14ac:dyDescent="0.2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 x14ac:dyDescent="0.2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 x14ac:dyDescent="0.2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 x14ac:dyDescent="0.2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 x14ac:dyDescent="0.2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 x14ac:dyDescent="0.2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 x14ac:dyDescent="0.2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 x14ac:dyDescent="0.2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 x14ac:dyDescent="0.2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 x14ac:dyDescent="0.2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 x14ac:dyDescent="0.2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 x14ac:dyDescent="0.2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 x14ac:dyDescent="0.2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 x14ac:dyDescent="0.2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 x14ac:dyDescent="0.2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 x14ac:dyDescent="0.2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 x14ac:dyDescent="0.2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 x14ac:dyDescent="0.2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 x14ac:dyDescent="0.2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 x14ac:dyDescent="0.2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 x14ac:dyDescent="0.2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 x14ac:dyDescent="0.2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 x14ac:dyDescent="0.2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 x14ac:dyDescent="0.2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 x14ac:dyDescent="0.2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 x14ac:dyDescent="0.2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 x14ac:dyDescent="0.2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 x14ac:dyDescent="0.2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 x14ac:dyDescent="0.2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 x14ac:dyDescent="0.2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 x14ac:dyDescent="0.2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 x14ac:dyDescent="0.2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 x14ac:dyDescent="0.2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 x14ac:dyDescent="0.2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 x14ac:dyDescent="0.2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 x14ac:dyDescent="0.2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 x14ac:dyDescent="0.2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 x14ac:dyDescent="0.2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 x14ac:dyDescent="0.2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 x14ac:dyDescent="0.2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 x14ac:dyDescent="0.2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 x14ac:dyDescent="0.2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 x14ac:dyDescent="0.2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 x14ac:dyDescent="0.2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 x14ac:dyDescent="0.2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 x14ac:dyDescent="0.2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 x14ac:dyDescent="0.2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 x14ac:dyDescent="0.2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 x14ac:dyDescent="0.2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 x14ac:dyDescent="0.2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 x14ac:dyDescent="0.2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 x14ac:dyDescent="0.2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 x14ac:dyDescent="0.2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 x14ac:dyDescent="0.2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 x14ac:dyDescent="0.2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 x14ac:dyDescent="0.2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 x14ac:dyDescent="0.2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 x14ac:dyDescent="0.2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 x14ac:dyDescent="0.2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 x14ac:dyDescent="0.2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 x14ac:dyDescent="0.2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 x14ac:dyDescent="0.2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 x14ac:dyDescent="0.2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 x14ac:dyDescent="0.2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 x14ac:dyDescent="0.2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 x14ac:dyDescent="0.2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 x14ac:dyDescent="0.2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 x14ac:dyDescent="0.2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 x14ac:dyDescent="0.2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 x14ac:dyDescent="0.2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 x14ac:dyDescent="0.2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 x14ac:dyDescent="0.2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 x14ac:dyDescent="0.2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 x14ac:dyDescent="0.2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 x14ac:dyDescent="0.2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 x14ac:dyDescent="0.2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 x14ac:dyDescent="0.2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 x14ac:dyDescent="0.2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 x14ac:dyDescent="0.2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 x14ac:dyDescent="0.2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 x14ac:dyDescent="0.2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 x14ac:dyDescent="0.2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 x14ac:dyDescent="0.2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 x14ac:dyDescent="0.2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 x14ac:dyDescent="0.2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 x14ac:dyDescent="0.2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 x14ac:dyDescent="0.2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 x14ac:dyDescent="0.2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 x14ac:dyDescent="0.2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 x14ac:dyDescent="0.2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 x14ac:dyDescent="0.2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 x14ac:dyDescent="0.2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 x14ac:dyDescent="0.2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 x14ac:dyDescent="0.2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 x14ac:dyDescent="0.2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 x14ac:dyDescent="0.2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 x14ac:dyDescent="0.2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 x14ac:dyDescent="0.2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 x14ac:dyDescent="0.2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 x14ac:dyDescent="0.2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 x14ac:dyDescent="0.2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 x14ac:dyDescent="0.2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 x14ac:dyDescent="0.2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 x14ac:dyDescent="0.2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 x14ac:dyDescent="0.2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 x14ac:dyDescent="0.2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 x14ac:dyDescent="0.2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 x14ac:dyDescent="0.2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 x14ac:dyDescent="0.2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 x14ac:dyDescent="0.2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 x14ac:dyDescent="0.2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 x14ac:dyDescent="0.2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 x14ac:dyDescent="0.2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 x14ac:dyDescent="0.2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 x14ac:dyDescent="0.2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 x14ac:dyDescent="0.2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 x14ac:dyDescent="0.2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 x14ac:dyDescent="0.2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 x14ac:dyDescent="0.2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 x14ac:dyDescent="0.2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 x14ac:dyDescent="0.2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 x14ac:dyDescent="0.2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 x14ac:dyDescent="0.2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 x14ac:dyDescent="0.2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 x14ac:dyDescent="0.2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 x14ac:dyDescent="0.2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 x14ac:dyDescent="0.2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 x14ac:dyDescent="0.2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 x14ac:dyDescent="0.2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 x14ac:dyDescent="0.2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 x14ac:dyDescent="0.2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 x14ac:dyDescent="0.2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 x14ac:dyDescent="0.2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 x14ac:dyDescent="0.2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 x14ac:dyDescent="0.2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 x14ac:dyDescent="0.2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 x14ac:dyDescent="0.2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 x14ac:dyDescent="0.2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 x14ac:dyDescent="0.2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 x14ac:dyDescent="0.2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 x14ac:dyDescent="0.2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 x14ac:dyDescent="0.2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 x14ac:dyDescent="0.2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 x14ac:dyDescent="0.2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 x14ac:dyDescent="0.2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 x14ac:dyDescent="0.2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 x14ac:dyDescent="0.2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 x14ac:dyDescent="0.2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 x14ac:dyDescent="0.2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 x14ac:dyDescent="0.2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 x14ac:dyDescent="0.2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 x14ac:dyDescent="0.2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 x14ac:dyDescent="0.2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 x14ac:dyDescent="0.2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 x14ac:dyDescent="0.2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 x14ac:dyDescent="0.2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 x14ac:dyDescent="0.2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 x14ac:dyDescent="0.2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 x14ac:dyDescent="0.2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 x14ac:dyDescent="0.2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 x14ac:dyDescent="0.2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 x14ac:dyDescent="0.2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 x14ac:dyDescent="0.2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 x14ac:dyDescent="0.2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 x14ac:dyDescent="0.2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 x14ac:dyDescent="0.2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 x14ac:dyDescent="0.2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 x14ac:dyDescent="0.2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 x14ac:dyDescent="0.2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 x14ac:dyDescent="0.2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 x14ac:dyDescent="0.2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 x14ac:dyDescent="0.2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 x14ac:dyDescent="0.2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 x14ac:dyDescent="0.2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 x14ac:dyDescent="0.2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 x14ac:dyDescent="0.2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 x14ac:dyDescent="0.2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 x14ac:dyDescent="0.2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 x14ac:dyDescent="0.2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 x14ac:dyDescent="0.2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 x14ac:dyDescent="0.2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 x14ac:dyDescent="0.2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 x14ac:dyDescent="0.2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 x14ac:dyDescent="0.2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 x14ac:dyDescent="0.2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 x14ac:dyDescent="0.2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 x14ac:dyDescent="0.2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 x14ac:dyDescent="0.2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 x14ac:dyDescent="0.2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 x14ac:dyDescent="0.2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 x14ac:dyDescent="0.2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 x14ac:dyDescent="0.2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 x14ac:dyDescent="0.2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 x14ac:dyDescent="0.2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 x14ac:dyDescent="0.2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 x14ac:dyDescent="0.2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 x14ac:dyDescent="0.2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 x14ac:dyDescent="0.2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 x14ac:dyDescent="0.2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 x14ac:dyDescent="0.2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 x14ac:dyDescent="0.2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 x14ac:dyDescent="0.2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 x14ac:dyDescent="0.2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 x14ac:dyDescent="0.2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 x14ac:dyDescent="0.2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 x14ac:dyDescent="0.2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 x14ac:dyDescent="0.2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 x14ac:dyDescent="0.2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 x14ac:dyDescent="0.2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 x14ac:dyDescent="0.2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 x14ac:dyDescent="0.2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 x14ac:dyDescent="0.2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 x14ac:dyDescent="0.2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 x14ac:dyDescent="0.2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 x14ac:dyDescent="0.2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 x14ac:dyDescent="0.2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 x14ac:dyDescent="0.2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 x14ac:dyDescent="0.2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 x14ac:dyDescent="0.2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 x14ac:dyDescent="0.2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 x14ac:dyDescent="0.2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 x14ac:dyDescent="0.2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 x14ac:dyDescent="0.2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 x14ac:dyDescent="0.2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 x14ac:dyDescent="0.2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 x14ac:dyDescent="0.2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 x14ac:dyDescent="0.2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 x14ac:dyDescent="0.2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 x14ac:dyDescent="0.2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 x14ac:dyDescent="0.2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 x14ac:dyDescent="0.2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 x14ac:dyDescent="0.2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 x14ac:dyDescent="0.2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 x14ac:dyDescent="0.2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 x14ac:dyDescent="0.2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 x14ac:dyDescent="0.2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 x14ac:dyDescent="0.2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 x14ac:dyDescent="0.2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 x14ac:dyDescent="0.2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 x14ac:dyDescent="0.2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 x14ac:dyDescent="0.2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 x14ac:dyDescent="0.2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 x14ac:dyDescent="0.2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 x14ac:dyDescent="0.2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 x14ac:dyDescent="0.2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 x14ac:dyDescent="0.2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 x14ac:dyDescent="0.2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 x14ac:dyDescent="0.2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 x14ac:dyDescent="0.2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 x14ac:dyDescent="0.2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 x14ac:dyDescent="0.2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 x14ac:dyDescent="0.2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 x14ac:dyDescent="0.2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 x14ac:dyDescent="0.2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 x14ac:dyDescent="0.2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 x14ac:dyDescent="0.2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 x14ac:dyDescent="0.2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 x14ac:dyDescent="0.2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 x14ac:dyDescent="0.2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 x14ac:dyDescent="0.2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 x14ac:dyDescent="0.2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 x14ac:dyDescent="0.2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 x14ac:dyDescent="0.2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 x14ac:dyDescent="0.2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 x14ac:dyDescent="0.2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 x14ac:dyDescent="0.2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 x14ac:dyDescent="0.2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 x14ac:dyDescent="0.2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 x14ac:dyDescent="0.2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 x14ac:dyDescent="0.2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 x14ac:dyDescent="0.2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 x14ac:dyDescent="0.2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 x14ac:dyDescent="0.2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 x14ac:dyDescent="0.2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 x14ac:dyDescent="0.2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 x14ac:dyDescent="0.2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 x14ac:dyDescent="0.2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 x14ac:dyDescent="0.2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 x14ac:dyDescent="0.2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 x14ac:dyDescent="0.2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 x14ac:dyDescent="0.2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 x14ac:dyDescent="0.2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 x14ac:dyDescent="0.2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 x14ac:dyDescent="0.2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 x14ac:dyDescent="0.2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 x14ac:dyDescent="0.2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 x14ac:dyDescent="0.2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 x14ac:dyDescent="0.2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 x14ac:dyDescent="0.2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 x14ac:dyDescent="0.2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 x14ac:dyDescent="0.2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 x14ac:dyDescent="0.2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 x14ac:dyDescent="0.2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 x14ac:dyDescent="0.2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 x14ac:dyDescent="0.2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 x14ac:dyDescent="0.2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 x14ac:dyDescent="0.2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 x14ac:dyDescent="0.2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 x14ac:dyDescent="0.2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 x14ac:dyDescent="0.2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 x14ac:dyDescent="0.2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 x14ac:dyDescent="0.2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 x14ac:dyDescent="0.2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 x14ac:dyDescent="0.2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 x14ac:dyDescent="0.2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 x14ac:dyDescent="0.2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 x14ac:dyDescent="0.2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 x14ac:dyDescent="0.2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 x14ac:dyDescent="0.2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 x14ac:dyDescent="0.2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 x14ac:dyDescent="0.2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 x14ac:dyDescent="0.2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 x14ac:dyDescent="0.2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 x14ac:dyDescent="0.2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 x14ac:dyDescent="0.2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 x14ac:dyDescent="0.2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 x14ac:dyDescent="0.2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 x14ac:dyDescent="0.2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 x14ac:dyDescent="0.2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 x14ac:dyDescent="0.2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 x14ac:dyDescent="0.2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 x14ac:dyDescent="0.2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 x14ac:dyDescent="0.2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 x14ac:dyDescent="0.2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 x14ac:dyDescent="0.2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 x14ac:dyDescent="0.2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 x14ac:dyDescent="0.2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 x14ac:dyDescent="0.2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 x14ac:dyDescent="0.2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 x14ac:dyDescent="0.2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 x14ac:dyDescent="0.2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 x14ac:dyDescent="0.2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 x14ac:dyDescent="0.2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 x14ac:dyDescent="0.2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 x14ac:dyDescent="0.2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 x14ac:dyDescent="0.2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 x14ac:dyDescent="0.2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 x14ac:dyDescent="0.2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 x14ac:dyDescent="0.2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 x14ac:dyDescent="0.2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 x14ac:dyDescent="0.2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 x14ac:dyDescent="0.2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 x14ac:dyDescent="0.2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 x14ac:dyDescent="0.2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 x14ac:dyDescent="0.2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 x14ac:dyDescent="0.2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 x14ac:dyDescent="0.2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 x14ac:dyDescent="0.2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 x14ac:dyDescent="0.2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 x14ac:dyDescent="0.2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 x14ac:dyDescent="0.2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 x14ac:dyDescent="0.2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 x14ac:dyDescent="0.2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 x14ac:dyDescent="0.2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 x14ac:dyDescent="0.2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 x14ac:dyDescent="0.2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 x14ac:dyDescent="0.2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 x14ac:dyDescent="0.2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 x14ac:dyDescent="0.2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 x14ac:dyDescent="0.2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 x14ac:dyDescent="0.2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 x14ac:dyDescent="0.2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 x14ac:dyDescent="0.2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 x14ac:dyDescent="0.2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 x14ac:dyDescent="0.2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 x14ac:dyDescent="0.2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 x14ac:dyDescent="0.2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 x14ac:dyDescent="0.2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 x14ac:dyDescent="0.2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 x14ac:dyDescent="0.2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 x14ac:dyDescent="0.2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 x14ac:dyDescent="0.2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 x14ac:dyDescent="0.2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 x14ac:dyDescent="0.2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 x14ac:dyDescent="0.2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 x14ac:dyDescent="0.2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 x14ac:dyDescent="0.2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 x14ac:dyDescent="0.2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 x14ac:dyDescent="0.2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 x14ac:dyDescent="0.2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 x14ac:dyDescent="0.2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 x14ac:dyDescent="0.2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 x14ac:dyDescent="0.2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 x14ac:dyDescent="0.2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 x14ac:dyDescent="0.2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 x14ac:dyDescent="0.2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 x14ac:dyDescent="0.2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 x14ac:dyDescent="0.2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 x14ac:dyDescent="0.2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 x14ac:dyDescent="0.2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 x14ac:dyDescent="0.2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 x14ac:dyDescent="0.2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 x14ac:dyDescent="0.2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 x14ac:dyDescent="0.2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 x14ac:dyDescent="0.2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 x14ac:dyDescent="0.2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 x14ac:dyDescent="0.2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 x14ac:dyDescent="0.2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 x14ac:dyDescent="0.2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 x14ac:dyDescent="0.2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 x14ac:dyDescent="0.2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 x14ac:dyDescent="0.2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 x14ac:dyDescent="0.2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 x14ac:dyDescent="0.2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 x14ac:dyDescent="0.2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 x14ac:dyDescent="0.2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 x14ac:dyDescent="0.2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 x14ac:dyDescent="0.2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 x14ac:dyDescent="0.2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 x14ac:dyDescent="0.2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 x14ac:dyDescent="0.2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 x14ac:dyDescent="0.2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 x14ac:dyDescent="0.2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 x14ac:dyDescent="0.2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 x14ac:dyDescent="0.2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 x14ac:dyDescent="0.2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 x14ac:dyDescent="0.2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 x14ac:dyDescent="0.2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 x14ac:dyDescent="0.2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 x14ac:dyDescent="0.2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 x14ac:dyDescent="0.2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 x14ac:dyDescent="0.2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 x14ac:dyDescent="0.2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 x14ac:dyDescent="0.2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 x14ac:dyDescent="0.2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 x14ac:dyDescent="0.2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 x14ac:dyDescent="0.2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 x14ac:dyDescent="0.2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 x14ac:dyDescent="0.2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 x14ac:dyDescent="0.2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 x14ac:dyDescent="0.2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 x14ac:dyDescent="0.2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 x14ac:dyDescent="0.2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 x14ac:dyDescent="0.2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 x14ac:dyDescent="0.2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 x14ac:dyDescent="0.2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 x14ac:dyDescent="0.2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 x14ac:dyDescent="0.2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 x14ac:dyDescent="0.2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 x14ac:dyDescent="0.2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 x14ac:dyDescent="0.2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 x14ac:dyDescent="0.2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 x14ac:dyDescent="0.2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 x14ac:dyDescent="0.2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 x14ac:dyDescent="0.2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 x14ac:dyDescent="0.2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 x14ac:dyDescent="0.2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 x14ac:dyDescent="0.2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 x14ac:dyDescent="0.2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 x14ac:dyDescent="0.2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 x14ac:dyDescent="0.2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 x14ac:dyDescent="0.2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 x14ac:dyDescent="0.2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 x14ac:dyDescent="0.2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 x14ac:dyDescent="0.2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 x14ac:dyDescent="0.2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 x14ac:dyDescent="0.2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 x14ac:dyDescent="0.2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 x14ac:dyDescent="0.2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 x14ac:dyDescent="0.2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 x14ac:dyDescent="0.2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 x14ac:dyDescent="0.2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 x14ac:dyDescent="0.2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 x14ac:dyDescent="0.2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 x14ac:dyDescent="0.2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 x14ac:dyDescent="0.2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 x14ac:dyDescent="0.2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 x14ac:dyDescent="0.2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 x14ac:dyDescent="0.2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 x14ac:dyDescent="0.2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 x14ac:dyDescent="0.2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 x14ac:dyDescent="0.2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 x14ac:dyDescent="0.2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 x14ac:dyDescent="0.2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 x14ac:dyDescent="0.2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 x14ac:dyDescent="0.2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 x14ac:dyDescent="0.2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 x14ac:dyDescent="0.2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 x14ac:dyDescent="0.2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 x14ac:dyDescent="0.2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 x14ac:dyDescent="0.2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 x14ac:dyDescent="0.2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 x14ac:dyDescent="0.2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 x14ac:dyDescent="0.2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 x14ac:dyDescent="0.2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 x14ac:dyDescent="0.2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 x14ac:dyDescent="0.2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 x14ac:dyDescent="0.2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 x14ac:dyDescent="0.2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 x14ac:dyDescent="0.2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 x14ac:dyDescent="0.2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 x14ac:dyDescent="0.2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 x14ac:dyDescent="0.2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 x14ac:dyDescent="0.2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 x14ac:dyDescent="0.2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 x14ac:dyDescent="0.2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 x14ac:dyDescent="0.2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 x14ac:dyDescent="0.2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 x14ac:dyDescent="0.2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 x14ac:dyDescent="0.2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 x14ac:dyDescent="0.2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 x14ac:dyDescent="0.2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 x14ac:dyDescent="0.2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 x14ac:dyDescent="0.2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 x14ac:dyDescent="0.2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 x14ac:dyDescent="0.2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 x14ac:dyDescent="0.2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 x14ac:dyDescent="0.2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 x14ac:dyDescent="0.2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 x14ac:dyDescent="0.2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 x14ac:dyDescent="0.2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 x14ac:dyDescent="0.2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 x14ac:dyDescent="0.2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 x14ac:dyDescent="0.2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 x14ac:dyDescent="0.2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 x14ac:dyDescent="0.2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 x14ac:dyDescent="0.2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 x14ac:dyDescent="0.2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 x14ac:dyDescent="0.2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 x14ac:dyDescent="0.2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 x14ac:dyDescent="0.2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 x14ac:dyDescent="0.2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 x14ac:dyDescent="0.2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 x14ac:dyDescent="0.2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 x14ac:dyDescent="0.2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 x14ac:dyDescent="0.2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 x14ac:dyDescent="0.2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 x14ac:dyDescent="0.2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 x14ac:dyDescent="0.2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 x14ac:dyDescent="0.2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 x14ac:dyDescent="0.2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 x14ac:dyDescent="0.2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 x14ac:dyDescent="0.2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 x14ac:dyDescent="0.2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 x14ac:dyDescent="0.2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 x14ac:dyDescent="0.2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 x14ac:dyDescent="0.2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 x14ac:dyDescent="0.2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 x14ac:dyDescent="0.2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 x14ac:dyDescent="0.2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 x14ac:dyDescent="0.2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 x14ac:dyDescent="0.2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 x14ac:dyDescent="0.2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 x14ac:dyDescent="0.2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 x14ac:dyDescent="0.2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 x14ac:dyDescent="0.2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 x14ac:dyDescent="0.2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 x14ac:dyDescent="0.2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 x14ac:dyDescent="0.2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 x14ac:dyDescent="0.2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 x14ac:dyDescent="0.2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 x14ac:dyDescent="0.2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 x14ac:dyDescent="0.2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 x14ac:dyDescent="0.2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 x14ac:dyDescent="0.2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 x14ac:dyDescent="0.2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 x14ac:dyDescent="0.2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 x14ac:dyDescent="0.2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 x14ac:dyDescent="0.2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 x14ac:dyDescent="0.2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 x14ac:dyDescent="0.2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 x14ac:dyDescent="0.2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 x14ac:dyDescent="0.2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 x14ac:dyDescent="0.2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 x14ac:dyDescent="0.2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 x14ac:dyDescent="0.2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 x14ac:dyDescent="0.2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 x14ac:dyDescent="0.2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 x14ac:dyDescent="0.2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 x14ac:dyDescent="0.2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 x14ac:dyDescent="0.2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 x14ac:dyDescent="0.2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 x14ac:dyDescent="0.2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 x14ac:dyDescent="0.2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 x14ac:dyDescent="0.2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 x14ac:dyDescent="0.2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 x14ac:dyDescent="0.2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 x14ac:dyDescent="0.2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 x14ac:dyDescent="0.2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 x14ac:dyDescent="0.2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 x14ac:dyDescent="0.2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 x14ac:dyDescent="0.2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 x14ac:dyDescent="0.2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 x14ac:dyDescent="0.2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 x14ac:dyDescent="0.2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 x14ac:dyDescent="0.2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 x14ac:dyDescent="0.2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 x14ac:dyDescent="0.2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 x14ac:dyDescent="0.2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 x14ac:dyDescent="0.2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 x14ac:dyDescent="0.2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 x14ac:dyDescent="0.2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 x14ac:dyDescent="0.2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 x14ac:dyDescent="0.2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 x14ac:dyDescent="0.2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 x14ac:dyDescent="0.2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 x14ac:dyDescent="0.2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 x14ac:dyDescent="0.2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 x14ac:dyDescent="0.2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 x14ac:dyDescent="0.2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 x14ac:dyDescent="0.2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 x14ac:dyDescent="0.2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 x14ac:dyDescent="0.2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 x14ac:dyDescent="0.2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 x14ac:dyDescent="0.2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 x14ac:dyDescent="0.2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 x14ac:dyDescent="0.2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 x14ac:dyDescent="0.2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 x14ac:dyDescent="0.2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 x14ac:dyDescent="0.2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 x14ac:dyDescent="0.2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 x14ac:dyDescent="0.2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 x14ac:dyDescent="0.2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 x14ac:dyDescent="0.2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 x14ac:dyDescent="0.2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 x14ac:dyDescent="0.2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 x14ac:dyDescent="0.2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 x14ac:dyDescent="0.2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 x14ac:dyDescent="0.2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 x14ac:dyDescent="0.2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 x14ac:dyDescent="0.2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 x14ac:dyDescent="0.2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 x14ac:dyDescent="0.2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 x14ac:dyDescent="0.2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 x14ac:dyDescent="0.2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 x14ac:dyDescent="0.2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 x14ac:dyDescent="0.2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 x14ac:dyDescent="0.2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 x14ac:dyDescent="0.2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 x14ac:dyDescent="0.2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 x14ac:dyDescent="0.2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 x14ac:dyDescent="0.2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 x14ac:dyDescent="0.2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 x14ac:dyDescent="0.2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 x14ac:dyDescent="0.2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 x14ac:dyDescent="0.2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 x14ac:dyDescent="0.2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 x14ac:dyDescent="0.2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 x14ac:dyDescent="0.2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 x14ac:dyDescent="0.2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 x14ac:dyDescent="0.2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 x14ac:dyDescent="0.2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 x14ac:dyDescent="0.2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 x14ac:dyDescent="0.2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 x14ac:dyDescent="0.2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 x14ac:dyDescent="0.2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 x14ac:dyDescent="0.2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 x14ac:dyDescent="0.2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 x14ac:dyDescent="0.2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 x14ac:dyDescent="0.2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 x14ac:dyDescent="0.2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 x14ac:dyDescent="0.2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 x14ac:dyDescent="0.2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 x14ac:dyDescent="0.2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 x14ac:dyDescent="0.2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 x14ac:dyDescent="0.2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 x14ac:dyDescent="0.2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 x14ac:dyDescent="0.2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 x14ac:dyDescent="0.2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 x14ac:dyDescent="0.2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 x14ac:dyDescent="0.2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 x14ac:dyDescent="0.2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 x14ac:dyDescent="0.2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 x14ac:dyDescent="0.2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 x14ac:dyDescent="0.2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 x14ac:dyDescent="0.2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 x14ac:dyDescent="0.2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 x14ac:dyDescent="0.2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 x14ac:dyDescent="0.2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 x14ac:dyDescent="0.2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 x14ac:dyDescent="0.2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 x14ac:dyDescent="0.2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 x14ac:dyDescent="0.2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 x14ac:dyDescent="0.2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 x14ac:dyDescent="0.2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 x14ac:dyDescent="0.2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 x14ac:dyDescent="0.2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 x14ac:dyDescent="0.2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 x14ac:dyDescent="0.2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 x14ac:dyDescent="0.2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 x14ac:dyDescent="0.2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 x14ac:dyDescent="0.2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 x14ac:dyDescent="0.2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 x14ac:dyDescent="0.2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 x14ac:dyDescent="0.2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 x14ac:dyDescent="0.2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 x14ac:dyDescent="0.2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 x14ac:dyDescent="0.2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 x14ac:dyDescent="0.2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 x14ac:dyDescent="0.2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 x14ac:dyDescent="0.2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 x14ac:dyDescent="0.2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 x14ac:dyDescent="0.2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 x14ac:dyDescent="0.2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 x14ac:dyDescent="0.2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 x14ac:dyDescent="0.2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 x14ac:dyDescent="0.2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 x14ac:dyDescent="0.2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 x14ac:dyDescent="0.2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 x14ac:dyDescent="0.2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 x14ac:dyDescent="0.2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 x14ac:dyDescent="0.2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 x14ac:dyDescent="0.2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 x14ac:dyDescent="0.2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 x14ac:dyDescent="0.2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 x14ac:dyDescent="0.2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 x14ac:dyDescent="0.2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 x14ac:dyDescent="0.2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 x14ac:dyDescent="0.2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 x14ac:dyDescent="0.2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 x14ac:dyDescent="0.2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 x14ac:dyDescent="0.2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 x14ac:dyDescent="0.2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 x14ac:dyDescent="0.2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 x14ac:dyDescent="0.2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 x14ac:dyDescent="0.2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 x14ac:dyDescent="0.2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 x14ac:dyDescent="0.2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 x14ac:dyDescent="0.2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 x14ac:dyDescent="0.2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 x14ac:dyDescent="0.2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 x14ac:dyDescent="0.2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 x14ac:dyDescent="0.2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 x14ac:dyDescent="0.2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 x14ac:dyDescent="0.2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 x14ac:dyDescent="0.2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 x14ac:dyDescent="0.2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 x14ac:dyDescent="0.2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 x14ac:dyDescent="0.2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 x14ac:dyDescent="0.2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 x14ac:dyDescent="0.2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 x14ac:dyDescent="0.2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 x14ac:dyDescent="0.2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 x14ac:dyDescent="0.2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 x14ac:dyDescent="0.2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 x14ac:dyDescent="0.2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 x14ac:dyDescent="0.2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 x14ac:dyDescent="0.2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 x14ac:dyDescent="0.2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 x14ac:dyDescent="0.2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 x14ac:dyDescent="0.2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 x14ac:dyDescent="0.2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 x14ac:dyDescent="0.2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 x14ac:dyDescent="0.2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 x14ac:dyDescent="0.2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 x14ac:dyDescent="0.2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 x14ac:dyDescent="0.2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 x14ac:dyDescent="0.2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 x14ac:dyDescent="0.2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 x14ac:dyDescent="0.2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 x14ac:dyDescent="0.2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 x14ac:dyDescent="0.2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 x14ac:dyDescent="0.2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 x14ac:dyDescent="0.2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 x14ac:dyDescent="0.2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 x14ac:dyDescent="0.2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 x14ac:dyDescent="0.2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 x14ac:dyDescent="0.2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 x14ac:dyDescent="0.2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 x14ac:dyDescent="0.2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 x14ac:dyDescent="0.2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 x14ac:dyDescent="0.2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 x14ac:dyDescent="0.2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 x14ac:dyDescent="0.2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 x14ac:dyDescent="0.2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 x14ac:dyDescent="0.2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 x14ac:dyDescent="0.2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 x14ac:dyDescent="0.2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 x14ac:dyDescent="0.2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 x14ac:dyDescent="0.2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 x14ac:dyDescent="0.2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 x14ac:dyDescent="0.2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 x14ac:dyDescent="0.2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 x14ac:dyDescent="0.2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 x14ac:dyDescent="0.2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 x14ac:dyDescent="0.2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 x14ac:dyDescent="0.2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 x14ac:dyDescent="0.2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 x14ac:dyDescent="0.2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 x14ac:dyDescent="0.2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 x14ac:dyDescent="0.2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 x14ac:dyDescent="0.2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 x14ac:dyDescent="0.2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 x14ac:dyDescent="0.2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 x14ac:dyDescent="0.2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 x14ac:dyDescent="0.2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 x14ac:dyDescent="0.2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 x14ac:dyDescent="0.2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 x14ac:dyDescent="0.2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 x14ac:dyDescent="0.2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 x14ac:dyDescent="0.2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 x14ac:dyDescent="0.2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 x14ac:dyDescent="0.2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 x14ac:dyDescent="0.2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 x14ac:dyDescent="0.2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 x14ac:dyDescent="0.2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 x14ac:dyDescent="0.2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 x14ac:dyDescent="0.2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 x14ac:dyDescent="0.2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 x14ac:dyDescent="0.2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 x14ac:dyDescent="0.2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 x14ac:dyDescent="0.2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 x14ac:dyDescent="0.2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 x14ac:dyDescent="0.2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 x14ac:dyDescent="0.2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 x14ac:dyDescent="0.2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 x14ac:dyDescent="0.2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 x14ac:dyDescent="0.2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 x14ac:dyDescent="0.2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 x14ac:dyDescent="0.2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 x14ac:dyDescent="0.2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 x14ac:dyDescent="0.2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 x14ac:dyDescent="0.2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 x14ac:dyDescent="0.2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 x14ac:dyDescent="0.2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 x14ac:dyDescent="0.2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 x14ac:dyDescent="0.2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 x14ac:dyDescent="0.2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 x14ac:dyDescent="0.2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 x14ac:dyDescent="0.2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 x14ac:dyDescent="0.2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 x14ac:dyDescent="0.2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 x14ac:dyDescent="0.2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 x14ac:dyDescent="0.2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 x14ac:dyDescent="0.2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 x14ac:dyDescent="0.2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 x14ac:dyDescent="0.2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 x14ac:dyDescent="0.2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 x14ac:dyDescent="0.2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 x14ac:dyDescent="0.2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 x14ac:dyDescent="0.2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 x14ac:dyDescent="0.2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 x14ac:dyDescent="0.2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 x14ac:dyDescent="0.2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 x14ac:dyDescent="0.2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 x14ac:dyDescent="0.2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 x14ac:dyDescent="0.2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 x14ac:dyDescent="0.2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 x14ac:dyDescent="0.2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 x14ac:dyDescent="0.2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 x14ac:dyDescent="0.2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 x14ac:dyDescent="0.2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 x14ac:dyDescent="0.2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 x14ac:dyDescent="0.2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 x14ac:dyDescent="0.2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 x14ac:dyDescent="0.2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 x14ac:dyDescent="0.2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 x14ac:dyDescent="0.2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 x14ac:dyDescent="0.2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 x14ac:dyDescent="0.2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 x14ac:dyDescent="0.2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 x14ac:dyDescent="0.2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 x14ac:dyDescent="0.2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 x14ac:dyDescent="0.2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 x14ac:dyDescent="0.2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 x14ac:dyDescent="0.2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 x14ac:dyDescent="0.2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 x14ac:dyDescent="0.2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 x14ac:dyDescent="0.2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 x14ac:dyDescent="0.2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 x14ac:dyDescent="0.2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 x14ac:dyDescent="0.2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 x14ac:dyDescent="0.2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 x14ac:dyDescent="0.2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 x14ac:dyDescent="0.2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 x14ac:dyDescent="0.2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 x14ac:dyDescent="0.2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 x14ac:dyDescent="0.2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 x14ac:dyDescent="0.2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 x14ac:dyDescent="0.2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 x14ac:dyDescent="0.2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 x14ac:dyDescent="0.2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 x14ac:dyDescent="0.2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 x14ac:dyDescent="0.2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 x14ac:dyDescent="0.2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 x14ac:dyDescent="0.2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 x14ac:dyDescent="0.2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 x14ac:dyDescent="0.2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 x14ac:dyDescent="0.2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 x14ac:dyDescent="0.2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 x14ac:dyDescent="0.2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 x14ac:dyDescent="0.2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 x14ac:dyDescent="0.2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 x14ac:dyDescent="0.2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 x14ac:dyDescent="0.2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 x14ac:dyDescent="0.2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 x14ac:dyDescent="0.2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 x14ac:dyDescent="0.2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 x14ac:dyDescent="0.2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 x14ac:dyDescent="0.2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 x14ac:dyDescent="0.2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 x14ac:dyDescent="0.2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 x14ac:dyDescent="0.2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 x14ac:dyDescent="0.2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 x14ac:dyDescent="0.2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 x14ac:dyDescent="0.2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 x14ac:dyDescent="0.2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 x14ac:dyDescent="0.2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 x14ac:dyDescent="0.2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 x14ac:dyDescent="0.2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 x14ac:dyDescent="0.2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 x14ac:dyDescent="0.2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 x14ac:dyDescent="0.2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 x14ac:dyDescent="0.2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 x14ac:dyDescent="0.2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 x14ac:dyDescent="0.2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 x14ac:dyDescent="0.2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 x14ac:dyDescent="0.2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 x14ac:dyDescent="0.2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 x14ac:dyDescent="0.2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 x14ac:dyDescent="0.2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 x14ac:dyDescent="0.2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 x14ac:dyDescent="0.2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 x14ac:dyDescent="0.2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 x14ac:dyDescent="0.2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 x14ac:dyDescent="0.2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 x14ac:dyDescent="0.2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 x14ac:dyDescent="0.2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 x14ac:dyDescent="0.2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 x14ac:dyDescent="0.2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 x14ac:dyDescent="0.2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 x14ac:dyDescent="0.2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 x14ac:dyDescent="0.2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 x14ac:dyDescent="0.2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 x14ac:dyDescent="0.2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 x14ac:dyDescent="0.2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 x14ac:dyDescent="0.2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 x14ac:dyDescent="0.2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 x14ac:dyDescent="0.2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 x14ac:dyDescent="0.2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 x14ac:dyDescent="0.2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 x14ac:dyDescent="0.2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 x14ac:dyDescent="0.2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 x14ac:dyDescent="0.2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 x14ac:dyDescent="0.2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 x14ac:dyDescent="0.2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 x14ac:dyDescent="0.2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 x14ac:dyDescent="0.2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 x14ac:dyDescent="0.2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 x14ac:dyDescent="0.2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 x14ac:dyDescent="0.2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 x14ac:dyDescent="0.2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 x14ac:dyDescent="0.2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 x14ac:dyDescent="0.2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 x14ac:dyDescent="0.2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 x14ac:dyDescent="0.2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 x14ac:dyDescent="0.2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 x14ac:dyDescent="0.2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 x14ac:dyDescent="0.2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 x14ac:dyDescent="0.2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 x14ac:dyDescent="0.2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 x14ac:dyDescent="0.2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 x14ac:dyDescent="0.2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 x14ac:dyDescent="0.2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 x14ac:dyDescent="0.2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 x14ac:dyDescent="0.2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 x14ac:dyDescent="0.2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 x14ac:dyDescent="0.2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 x14ac:dyDescent="0.2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 x14ac:dyDescent="0.2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 x14ac:dyDescent="0.2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2019-02-01T02:07:02Z</dcterms:modified>
</cp:coreProperties>
</file>