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7414B04E-C1D4-46D8-B47D-B9B30510CEEA}" xr6:coauthVersionLast="36" xr6:coauthVersionMax="36" xr10:uidLastSave="{00000000-0000-0000-0000-000000000000}"/>
  <bookViews>
    <workbookView xWindow="28785" yWindow="-8865" windowWidth="21600" windowHeight="37065" activeTab="6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definedNames>
    <definedName name="_xlnm._FilterDatabase" localSheetId="0" hidden="1">交易明细!$A$1:$W$122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7" l="1"/>
  <c r="I25" i="7"/>
  <c r="I26" i="7"/>
  <c r="I27" i="7"/>
  <c r="I28" i="7"/>
  <c r="K24" i="7"/>
  <c r="L24" i="7"/>
  <c r="M24" i="7"/>
  <c r="J24" i="7"/>
  <c r="M28" i="7"/>
  <c r="M27" i="7"/>
  <c r="M26" i="7"/>
  <c r="M25" i="7"/>
  <c r="L28" i="7"/>
  <c r="L27" i="7"/>
  <c r="L26" i="7"/>
  <c r="L25" i="7"/>
  <c r="K28" i="7"/>
  <c r="K27" i="7"/>
  <c r="K26" i="7"/>
  <c r="K25" i="7"/>
  <c r="J28" i="7"/>
  <c r="J27" i="7"/>
  <c r="J26" i="7"/>
  <c r="J25" i="7"/>
  <c r="D120" i="7"/>
  <c r="E120" i="7"/>
  <c r="F120" i="7"/>
  <c r="D121" i="7"/>
  <c r="E121" i="7"/>
  <c r="F121" i="7"/>
  <c r="D122" i="7"/>
  <c r="E122" i="7"/>
  <c r="F122" i="7"/>
  <c r="D123" i="7"/>
  <c r="E123" i="7"/>
  <c r="F123" i="7"/>
  <c r="C121" i="7"/>
  <c r="C122" i="7"/>
  <c r="C123" i="7"/>
  <c r="C120" i="7"/>
  <c r="D115" i="7"/>
  <c r="E115" i="7"/>
  <c r="F115" i="7"/>
  <c r="D116" i="7"/>
  <c r="E116" i="7"/>
  <c r="F116" i="7"/>
  <c r="D117" i="7"/>
  <c r="E117" i="7"/>
  <c r="F117" i="7"/>
  <c r="D118" i="7"/>
  <c r="E118" i="7"/>
  <c r="F118" i="7"/>
  <c r="C116" i="7"/>
  <c r="C117" i="7"/>
  <c r="C118" i="7"/>
  <c r="C115" i="7"/>
  <c r="C111" i="7"/>
  <c r="D111" i="7"/>
  <c r="E111" i="7"/>
  <c r="F111" i="7"/>
  <c r="C112" i="7"/>
  <c r="D112" i="7"/>
  <c r="E112" i="7"/>
  <c r="F112" i="7"/>
  <c r="C113" i="7"/>
  <c r="D113" i="7"/>
  <c r="E113" i="7"/>
  <c r="F113" i="7"/>
  <c r="D110" i="7"/>
  <c r="E110" i="7"/>
  <c r="F110" i="7"/>
  <c r="C110" i="7"/>
  <c r="D105" i="7"/>
  <c r="E105" i="7"/>
  <c r="F105" i="7"/>
  <c r="D106" i="7"/>
  <c r="E106" i="7"/>
  <c r="F106" i="7"/>
  <c r="D107" i="7"/>
  <c r="E107" i="7"/>
  <c r="F107" i="7"/>
  <c r="D108" i="7"/>
  <c r="E108" i="7"/>
  <c r="F108" i="7"/>
  <c r="C106" i="7"/>
  <c r="C107" i="7"/>
  <c r="C108" i="7"/>
  <c r="C105" i="7"/>
  <c r="C101" i="7"/>
  <c r="D101" i="7"/>
  <c r="E101" i="7"/>
  <c r="F101" i="7"/>
  <c r="C102" i="7"/>
  <c r="D102" i="7"/>
  <c r="E102" i="7"/>
  <c r="F102" i="7"/>
  <c r="C103" i="7"/>
  <c r="D103" i="7"/>
  <c r="E103" i="7"/>
  <c r="F103" i="7"/>
  <c r="F100" i="7"/>
  <c r="D100" i="7"/>
  <c r="E100" i="7"/>
  <c r="C100" i="7"/>
  <c r="C96" i="7"/>
  <c r="D96" i="7"/>
  <c r="E96" i="7"/>
  <c r="F96" i="7"/>
  <c r="C97" i="7"/>
  <c r="D97" i="7"/>
  <c r="E97" i="7"/>
  <c r="F97" i="7"/>
  <c r="C98" i="7"/>
  <c r="D98" i="7"/>
  <c r="E98" i="7"/>
  <c r="F98" i="7"/>
  <c r="D95" i="7"/>
  <c r="E95" i="7"/>
  <c r="F95" i="7"/>
  <c r="C95" i="7"/>
  <c r="C91" i="7"/>
  <c r="D91" i="7"/>
  <c r="E91" i="7"/>
  <c r="F91" i="7"/>
  <c r="C92" i="7"/>
  <c r="D92" i="7"/>
  <c r="E92" i="7"/>
  <c r="F92" i="7"/>
  <c r="C93" i="7"/>
  <c r="D93" i="7"/>
  <c r="E93" i="7"/>
  <c r="F93" i="7"/>
  <c r="F90" i="7"/>
  <c r="E90" i="7"/>
  <c r="D90" i="7"/>
  <c r="C90" i="7"/>
  <c r="C86" i="7"/>
  <c r="D86" i="7"/>
  <c r="E86" i="7"/>
  <c r="F86" i="7"/>
  <c r="C87" i="7"/>
  <c r="D87" i="7"/>
  <c r="E87" i="7"/>
  <c r="F87" i="7"/>
  <c r="C88" i="7"/>
  <c r="D88" i="7"/>
  <c r="E88" i="7"/>
  <c r="F88" i="7"/>
  <c r="F85" i="7"/>
  <c r="E85" i="7"/>
  <c r="D85" i="7"/>
  <c r="C85" i="7"/>
  <c r="C81" i="7"/>
  <c r="D81" i="7"/>
  <c r="E81" i="7"/>
  <c r="F81" i="7"/>
  <c r="C82" i="7"/>
  <c r="D82" i="7"/>
  <c r="E82" i="7"/>
  <c r="F82" i="7"/>
  <c r="C83" i="7"/>
  <c r="D83" i="7"/>
  <c r="E83" i="7"/>
  <c r="F83" i="7"/>
  <c r="F80" i="7"/>
  <c r="E80" i="7"/>
  <c r="D80" i="7"/>
  <c r="C80" i="7"/>
  <c r="C76" i="7"/>
  <c r="D76" i="7"/>
  <c r="E76" i="7"/>
  <c r="F76" i="7"/>
  <c r="C77" i="7"/>
  <c r="D77" i="7"/>
  <c r="E77" i="7"/>
  <c r="F77" i="7"/>
  <c r="C78" i="7"/>
  <c r="D78" i="7"/>
  <c r="E78" i="7"/>
  <c r="F78" i="7"/>
  <c r="F75" i="7"/>
  <c r="E75" i="7"/>
  <c r="D75" i="7"/>
  <c r="C75" i="7"/>
  <c r="C71" i="7"/>
  <c r="D71" i="7"/>
  <c r="E71" i="7"/>
  <c r="F71" i="7"/>
  <c r="C72" i="7"/>
  <c r="D72" i="7"/>
  <c r="E72" i="7"/>
  <c r="F72" i="7"/>
  <c r="C73" i="7"/>
  <c r="D73" i="7"/>
  <c r="E73" i="7"/>
  <c r="F73" i="7"/>
  <c r="F70" i="7"/>
  <c r="E70" i="7"/>
  <c r="D70" i="7"/>
  <c r="C70" i="7"/>
  <c r="D65" i="7"/>
  <c r="C66" i="7"/>
  <c r="D66" i="7"/>
  <c r="E66" i="7"/>
  <c r="F66" i="7"/>
  <c r="C67" i="7"/>
  <c r="D67" i="7"/>
  <c r="E67" i="7"/>
  <c r="F67" i="7"/>
  <c r="C68" i="7"/>
  <c r="D68" i="7"/>
  <c r="E68" i="7"/>
  <c r="F68" i="7"/>
  <c r="F65" i="7"/>
  <c r="E65" i="7"/>
  <c r="C65" i="7"/>
  <c r="C61" i="7"/>
  <c r="D61" i="7"/>
  <c r="E61" i="7"/>
  <c r="F61" i="7"/>
  <c r="C62" i="7"/>
  <c r="D62" i="7"/>
  <c r="E62" i="7"/>
  <c r="F62" i="7"/>
  <c r="C63" i="7"/>
  <c r="D63" i="7"/>
  <c r="E63" i="7"/>
  <c r="F63" i="7"/>
  <c r="F60" i="7"/>
  <c r="E60" i="7"/>
  <c r="D60" i="7"/>
  <c r="C60" i="7"/>
  <c r="C56" i="7"/>
  <c r="D56" i="7"/>
  <c r="E56" i="7"/>
  <c r="F56" i="7"/>
  <c r="C57" i="7"/>
  <c r="D57" i="7"/>
  <c r="E57" i="7"/>
  <c r="F57" i="7"/>
  <c r="C58" i="7"/>
  <c r="D58" i="7"/>
  <c r="E58" i="7"/>
  <c r="F58" i="7"/>
  <c r="F55" i="7"/>
  <c r="E55" i="7"/>
  <c r="D55" i="7"/>
  <c r="C55" i="7"/>
  <c r="C51" i="7"/>
  <c r="D51" i="7"/>
  <c r="E51" i="7"/>
  <c r="F51" i="7"/>
  <c r="C52" i="7"/>
  <c r="D52" i="7"/>
  <c r="E52" i="7"/>
  <c r="F52" i="7"/>
  <c r="C53" i="7"/>
  <c r="D53" i="7"/>
  <c r="E53" i="7"/>
  <c r="F53" i="7"/>
  <c r="F50" i="7"/>
  <c r="E50" i="7"/>
  <c r="D50" i="7"/>
  <c r="C50" i="7"/>
  <c r="C46" i="7"/>
  <c r="D46" i="7"/>
  <c r="E46" i="7"/>
  <c r="F46" i="7"/>
  <c r="C47" i="7"/>
  <c r="D47" i="7"/>
  <c r="E47" i="7"/>
  <c r="F47" i="7"/>
  <c r="C48" i="7"/>
  <c r="D48" i="7"/>
  <c r="E48" i="7"/>
  <c r="F48" i="7"/>
  <c r="F45" i="7"/>
  <c r="E45" i="7"/>
  <c r="D45" i="7"/>
  <c r="C45" i="7"/>
  <c r="C41" i="7"/>
  <c r="D41" i="7"/>
  <c r="E41" i="7"/>
  <c r="F41" i="7"/>
  <c r="C42" i="7"/>
  <c r="D42" i="7"/>
  <c r="E42" i="7"/>
  <c r="F42" i="7"/>
  <c r="C43" i="7"/>
  <c r="D43" i="7"/>
  <c r="E43" i="7"/>
  <c r="F43" i="7"/>
  <c r="F40" i="7"/>
  <c r="E40" i="7"/>
  <c r="D40" i="7"/>
  <c r="C40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F31" i="7"/>
  <c r="F32" i="7"/>
  <c r="F33" i="7"/>
  <c r="F30" i="7"/>
  <c r="E31" i="7"/>
  <c r="E32" i="7"/>
  <c r="E33" i="7"/>
  <c r="E30" i="7"/>
  <c r="D31" i="7"/>
  <c r="D32" i="7"/>
  <c r="D33" i="7"/>
  <c r="D30" i="7"/>
  <c r="C31" i="7"/>
  <c r="C32" i="7"/>
  <c r="C33" i="7"/>
  <c r="C30" i="7"/>
  <c r="F26" i="7"/>
  <c r="F27" i="7"/>
  <c r="F28" i="7"/>
  <c r="F25" i="7"/>
  <c r="E26" i="7"/>
  <c r="E27" i="7"/>
  <c r="E28" i="7"/>
  <c r="E25" i="7"/>
  <c r="D26" i="7"/>
  <c r="D28" i="7"/>
  <c r="D25" i="7"/>
  <c r="C26" i="7"/>
  <c r="C27" i="7"/>
  <c r="C28" i="7"/>
  <c r="C25" i="7"/>
  <c r="T14" i="1"/>
  <c r="H60" i="1"/>
  <c r="J60" i="1"/>
  <c r="X14" i="1"/>
  <c r="D2" i="7"/>
  <c r="G2" i="7"/>
  <c r="C2" i="7"/>
  <c r="Z14" i="1"/>
  <c r="B2" i="7"/>
  <c r="A26" i="7"/>
  <c r="T15" i="1"/>
  <c r="H47" i="1"/>
  <c r="J47" i="1"/>
  <c r="H53" i="1"/>
  <c r="J53" i="1"/>
  <c r="H68" i="1"/>
  <c r="J68" i="1"/>
  <c r="H82" i="1"/>
  <c r="J82" i="1"/>
  <c r="T38" i="1"/>
  <c r="H2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1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H113" i="1"/>
  <c r="J113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D3" i="7"/>
  <c r="G3" i="7"/>
  <c r="C3" i="7"/>
  <c r="Z15" i="1"/>
  <c r="B3" i="7"/>
  <c r="A31" i="7"/>
  <c r="X16" i="1"/>
  <c r="D4" i="7"/>
  <c r="G4" i="7"/>
  <c r="C4" i="7"/>
  <c r="Z16" i="1"/>
  <c r="B4" i="7"/>
  <c r="A36" i="7"/>
  <c r="X17" i="1"/>
  <c r="D5" i="7"/>
  <c r="G5" i="7"/>
  <c r="C5" i="7"/>
  <c r="Z17" i="1"/>
  <c r="B5" i="7"/>
  <c r="A41" i="7"/>
  <c r="X18" i="1"/>
  <c r="D6" i="7"/>
  <c r="G6" i="7"/>
  <c r="C6" i="7"/>
  <c r="Z18" i="1"/>
  <c r="B6" i="7"/>
  <c r="A46" i="7"/>
  <c r="X13" i="1"/>
  <c r="D7" i="7"/>
  <c r="G7" i="7"/>
  <c r="C7" i="7"/>
  <c r="Z13" i="1"/>
  <c r="B7" i="7"/>
  <c r="A51" i="7"/>
  <c r="X21" i="1"/>
  <c r="D8" i="7"/>
  <c r="G8" i="7"/>
  <c r="C8" i="7"/>
  <c r="Z21" i="1"/>
  <c r="B8" i="7"/>
  <c r="A56" i="7"/>
  <c r="X19" i="1"/>
  <c r="D9" i="7"/>
  <c r="G9" i="7"/>
  <c r="C9" i="7"/>
  <c r="Z19" i="1"/>
  <c r="B9" i="7"/>
  <c r="A61" i="7"/>
  <c r="X25" i="1"/>
  <c r="D10" i="7"/>
  <c r="G10" i="7"/>
  <c r="C10" i="7"/>
  <c r="Z25" i="1"/>
  <c r="B10" i="7"/>
  <c r="A66" i="7"/>
  <c r="X23" i="1"/>
  <c r="D11" i="7"/>
  <c r="G11" i="7"/>
  <c r="C11" i="7"/>
  <c r="Z23" i="1"/>
  <c r="B11" i="7"/>
  <c r="A71" i="7"/>
  <c r="X34" i="1"/>
  <c r="D12" i="7"/>
  <c r="G12" i="7"/>
  <c r="C12" i="7"/>
  <c r="Z34" i="1"/>
  <c r="B12" i="7"/>
  <c r="A76" i="7"/>
  <c r="V37" i="1"/>
  <c r="I45" i="1"/>
  <c r="K45" i="1"/>
  <c r="I55" i="1"/>
  <c r="K55" i="1"/>
  <c r="I89" i="1"/>
  <c r="K89" i="1"/>
  <c r="Y37" i="1"/>
  <c r="D13" i="7"/>
  <c r="G13" i="7"/>
  <c r="C13" i="7"/>
  <c r="Z37" i="1"/>
  <c r="B13" i="7"/>
  <c r="A81" i="7"/>
  <c r="V22" i="1"/>
  <c r="I40" i="1"/>
  <c r="K40" i="1"/>
  <c r="I51" i="1"/>
  <c r="K51" i="1"/>
  <c r="I93" i="1"/>
  <c r="K93" i="1"/>
  <c r="Y22" i="1"/>
  <c r="D14" i="7"/>
  <c r="G14" i="7"/>
  <c r="Z22" i="1"/>
  <c r="B14" i="7"/>
  <c r="A86" i="7"/>
  <c r="X39" i="1"/>
  <c r="D15" i="7"/>
  <c r="G15" i="7"/>
  <c r="Z39" i="1"/>
  <c r="B15" i="7"/>
  <c r="A91" i="7"/>
  <c r="Z40" i="1"/>
  <c r="B16" i="7"/>
  <c r="A96" i="7"/>
  <c r="Z38" i="1"/>
  <c r="B17" i="7"/>
  <c r="A101" i="7"/>
  <c r="Z46" i="1"/>
  <c r="B18" i="7"/>
  <c r="A106" i="7"/>
  <c r="Z43" i="1"/>
  <c r="B19" i="7"/>
  <c r="A111" i="7"/>
  <c r="Z42" i="1"/>
  <c r="B20" i="7"/>
  <c r="A116" i="7"/>
  <c r="B21" i="7"/>
  <c r="A12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B90" i="7"/>
  <c r="B91" i="7"/>
  <c r="B92" i="7"/>
  <c r="B93" i="7"/>
  <c r="B85" i="7"/>
  <c r="B86" i="7"/>
  <c r="B87" i="7"/>
  <c r="B88" i="7"/>
  <c r="B80" i="7"/>
  <c r="B81" i="7"/>
  <c r="B82" i="7"/>
  <c r="B83" i="7"/>
  <c r="B75" i="7"/>
  <c r="B76" i="7"/>
  <c r="B77" i="7"/>
  <c r="B78" i="7"/>
  <c r="B70" i="7"/>
  <c r="B71" i="7"/>
  <c r="B72" i="7"/>
  <c r="B73" i="7"/>
  <c r="B65" i="7"/>
  <c r="B66" i="7"/>
  <c r="B67" i="7"/>
  <c r="B68" i="7"/>
  <c r="B60" i="7"/>
  <c r="B61" i="7"/>
  <c r="B62" i="7"/>
  <c r="B63" i="7"/>
  <c r="B55" i="7"/>
  <c r="B56" i="7"/>
  <c r="B57" i="7"/>
  <c r="B58" i="7"/>
  <c r="B50" i="7"/>
  <c r="B51" i="7"/>
  <c r="B52" i="7"/>
  <c r="B53" i="7"/>
  <c r="B45" i="7"/>
  <c r="B46" i="7"/>
  <c r="B47" i="7"/>
  <c r="B48" i="7"/>
  <c r="B40" i="7"/>
  <c r="B41" i="7"/>
  <c r="B42" i="7"/>
  <c r="B43" i="7"/>
  <c r="B35" i="7"/>
  <c r="B36" i="7"/>
  <c r="B37" i="7"/>
  <c r="B38" i="7"/>
  <c r="B30" i="7"/>
  <c r="B31" i="7"/>
  <c r="B32" i="7"/>
  <c r="B33" i="7"/>
  <c r="B26" i="7"/>
  <c r="B28" i="7"/>
  <c r="B27" i="7"/>
  <c r="B2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8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<sst xmlns="http://schemas.openxmlformats.org/spreadsheetml/2006/main" count="15753" uniqueCount="7629">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</sst>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9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11.116579017846806</c:v>
                </c:pt>
                <c:pt idx="1">
                  <c:v>11.13122139762593</c:v>
                </c:pt>
                <c:pt idx="2">
                  <c:v>23.629239947302043</c:v>
                </c:pt>
                <c:pt idx="3">
                  <c:v>39.137977297060289</c:v>
                </c:pt>
                <c:pt idx="4">
                  <c:v>45.024502996848753</c:v>
                </c:pt>
                <c:pt idx="5">
                  <c:v>31.212942145172736</c:v>
                </c:pt>
                <c:pt idx="6">
                  <c:v>26.314408791425617</c:v>
                </c:pt>
                <c:pt idx="7">
                  <c:v>29.630467250766401</c:v>
                </c:pt>
                <c:pt idx="8">
                  <c:v>48.993843347992886</c:v>
                </c:pt>
                <c:pt idx="9">
                  <c:v>0.96584967320261417</c:v>
                </c:pt>
                <c:pt idx="10">
                  <c:v>1.3802694951084966</c:v>
                </c:pt>
                <c:pt idx="11">
                  <c:v>22.543592192691037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workbookViewId="0">
      <selection activeCell="W34" sqref="W3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10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10"/>
      <c r="Q11" s="110"/>
      <c r="R11" s="110" t="s">
        <v>54</v>
      </c>
      <c r="S11" s="15">
        <v>43430</v>
      </c>
      <c r="T11" s="110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0" t="s">
        <v>60</v>
      </c>
      <c r="S12" s="25" t="s">
        <v>199</v>
      </c>
      <c r="T12" s="110" t="s">
        <v>200</v>
      </c>
      <c r="U12" s="110" t="s">
        <v>201</v>
      </c>
      <c r="V12" s="110" t="s">
        <v>202</v>
      </c>
      <c r="W12" s="110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0" t="s">
        <v>17</v>
      </c>
      <c r="C13" s="110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42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42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42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0" t="s">
        <v>17</v>
      </c>
      <c r="C16" s="110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42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9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42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9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42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9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42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9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46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42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9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47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42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9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42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9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42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9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46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42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9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47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42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9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42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9">
        <v>0.12470000000000001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42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9">
        <v>8.3500000000000005E-2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42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42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9">
        <v>8.3500000000000005E-2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5" t="s">
        <v>168</v>
      </c>
      <c r="Q30" s="63" t="s">
        <v>190</v>
      </c>
      <c r="R30" s="116">
        <v>0.97160000000000002</v>
      </c>
      <c r="S30" s="143">
        <v>24.92</v>
      </c>
      <c r="T30" s="118">
        <f t="shared" si="2"/>
        <v>25.648414985590779</v>
      </c>
      <c r="U30" s="57">
        <v>2.08</v>
      </c>
      <c r="V30" s="58">
        <f t="shared" si="3"/>
        <v>2.1407986825854262</v>
      </c>
      <c r="W30" s="109">
        <v>8.3500000000000005E-2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5" t="s">
        <v>169</v>
      </c>
      <c r="Q31" s="63">
        <v>100038</v>
      </c>
      <c r="R31" s="116">
        <v>1.887</v>
      </c>
      <c r="S31" s="143">
        <v>12.57</v>
      </c>
      <c r="T31" s="118">
        <f t="shared" si="2"/>
        <v>6.6613672496025442</v>
      </c>
      <c r="U31" s="57">
        <v>1.52</v>
      </c>
      <c r="V31" s="58">
        <f t="shared" si="3"/>
        <v>0.8055113937466879</v>
      </c>
      <c r="W31" s="109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42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9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42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9">
        <v>6.4399999999999999E-2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7368</v>
      </c>
      <c r="Q34" s="63">
        <v>110022</v>
      </c>
      <c r="R34" s="64">
        <v>2.4079999999999999</v>
      </c>
      <c r="S34" s="142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9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90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7369</v>
      </c>
      <c r="Q35" s="63">
        <v>110026</v>
      </c>
      <c r="R35" s="64">
        <v>1.7436</v>
      </c>
      <c r="S35" s="142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9">
        <v>8.72E-2</v>
      </c>
      <c r="X35" s="61"/>
      <c r="Y35" s="61"/>
      <c r="Z35" s="90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5" t="s">
        <v>7379</v>
      </c>
      <c r="Q36" s="63" t="s">
        <v>7380</v>
      </c>
      <c r="R36" s="116">
        <v>0.94920000000000004</v>
      </c>
      <c r="S36" s="143">
        <v>54.12</v>
      </c>
      <c r="T36" s="118">
        <f t="shared" si="2"/>
        <v>57.016434892541085</v>
      </c>
      <c r="U36" s="57">
        <v>4.72</v>
      </c>
      <c r="V36" s="58">
        <f t="shared" si="3"/>
        <v>4.9726085124315205</v>
      </c>
      <c r="W36" s="109">
        <v>8.72E-2</v>
      </c>
      <c r="X36" s="61"/>
      <c r="Y36" s="61"/>
      <c r="Z36" s="90"/>
    </row>
    <row r="37" spans="1:27">
      <c r="A37" s="3">
        <v>43235</v>
      </c>
      <c r="B37" s="110" t="s">
        <v>23</v>
      </c>
      <c r="C37" s="110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8">
        <v>8.99</v>
      </c>
      <c r="T37" s="58">
        <f t="shared" si="2"/>
        <v>8.3148353681095077</v>
      </c>
      <c r="U37" s="108">
        <v>1.1499999999999999</v>
      </c>
      <c r="V37" s="58">
        <f t="shared" si="3"/>
        <v>1.0636330003699592</v>
      </c>
      <c r="W37" s="109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>
      <c r="A38" s="3">
        <v>43235</v>
      </c>
      <c r="B38" s="110" t="s">
        <v>20</v>
      </c>
      <c r="C38" s="110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6">
        <v>1.0720000000000001</v>
      </c>
      <c r="S38" s="117">
        <v>14.33</v>
      </c>
      <c r="T38" s="118">
        <f t="shared" si="2"/>
        <v>13.367537313432836</v>
      </c>
      <c r="U38" s="108">
        <v>1.53</v>
      </c>
      <c r="V38" s="58">
        <f t="shared" si="3"/>
        <v>1.4272388059701493</v>
      </c>
      <c r="W38" s="109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>
      <c r="A39" s="3">
        <v>43235</v>
      </c>
      <c r="B39" s="110" t="s">
        <v>21</v>
      </c>
      <c r="C39" s="110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8">
        <v>10.91</v>
      </c>
      <c r="T39" s="58">
        <f t="shared" si="2"/>
        <v>7.1456641341367568</v>
      </c>
      <c r="U39" s="108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>
      <c r="A40" s="3">
        <v>43235</v>
      </c>
      <c r="B40" s="110" t="s">
        <v>22</v>
      </c>
      <c r="C40" s="110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7382</v>
      </c>
      <c r="Q40" s="63" t="s">
        <v>7384</v>
      </c>
      <c r="R40" s="64">
        <v>1.228</v>
      </c>
      <c r="S40" s="57"/>
      <c r="T40" s="58"/>
      <c r="U40" s="57"/>
      <c r="V40" s="58"/>
      <c r="W40" s="58"/>
      <c r="X40" s="101"/>
      <c r="Y40" s="101"/>
      <c r="Z40" s="100">
        <f>(SUMIF(C:C,"=海外互联网",M:M)*-1)/$Q$2</f>
        <v>1.6E-2</v>
      </c>
    </row>
    <row r="41" spans="1:27">
      <c r="A41" s="3">
        <v>43245</v>
      </c>
      <c r="B41" s="110" t="s">
        <v>23</v>
      </c>
      <c r="C41" s="110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10"/>
      <c r="T41" s="110"/>
      <c r="U41" s="110"/>
      <c r="V41" s="110"/>
      <c r="W41" s="110"/>
      <c r="X41" s="2"/>
      <c r="Y41" s="72"/>
      <c r="Z41" s="100">
        <f>(SUMIF(C:C,"=国债",M:M)*-1)/$Q$2</f>
        <v>-1.1850999999999999E-3</v>
      </c>
    </row>
    <row r="42" spans="1:27">
      <c r="A42" s="3">
        <v>43250</v>
      </c>
      <c r="B42" s="110" t="s">
        <v>18</v>
      </c>
      <c r="C42" s="110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7393</v>
      </c>
      <c r="R42" s="64">
        <v>1.4430000000000001</v>
      </c>
      <c r="S42" s="110"/>
      <c r="T42" s="110"/>
      <c r="U42" s="110"/>
      <c r="V42" s="110"/>
      <c r="W42" s="110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0" t="s">
        <v>31</v>
      </c>
      <c r="C43" s="110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7395</v>
      </c>
      <c r="Q43" s="63">
        <v>340001</v>
      </c>
      <c r="R43" s="64">
        <v>3.7652000000000001</v>
      </c>
      <c r="S43" s="110"/>
      <c r="T43" s="110"/>
      <c r="U43" s="110"/>
      <c r="V43" s="110"/>
      <c r="W43" s="110"/>
      <c r="X43" s="2"/>
      <c r="Y43" s="72"/>
      <c r="Z43" s="146">
        <f>(SUMIF(C:C,"=可转债",M:M)*-1)/$Q$2</f>
        <v>5.6000000000000001E-2</v>
      </c>
    </row>
    <row r="44" spans="1:27">
      <c r="A44" s="3">
        <v>43265</v>
      </c>
      <c r="B44" s="110" t="s">
        <v>18</v>
      </c>
      <c r="C44" s="110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7394</v>
      </c>
      <c r="Q44" s="63" t="s">
        <v>7396</v>
      </c>
      <c r="R44" s="64">
        <v>2.3437000000000001</v>
      </c>
      <c r="S44" s="110"/>
      <c r="T44" s="110"/>
      <c r="U44" s="110"/>
      <c r="V44" s="110"/>
      <c r="W44" s="110"/>
      <c r="X44" s="106"/>
      <c r="Y44" s="106"/>
      <c r="Z44" s="147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7391</v>
      </c>
      <c r="Q45" s="63" t="s">
        <v>7392</v>
      </c>
      <c r="R45" s="64">
        <v>2.5649999999999999</v>
      </c>
      <c r="S45" s="110"/>
      <c r="T45" s="110"/>
      <c r="U45" s="110"/>
      <c r="V45" s="110"/>
      <c r="W45" s="110"/>
      <c r="X45" s="106"/>
      <c r="Y45" s="106"/>
      <c r="Z45" s="147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7389</v>
      </c>
      <c r="Q46" s="63" t="s">
        <v>7390</v>
      </c>
      <c r="R46" s="116">
        <v>0.504</v>
      </c>
      <c r="S46" s="114"/>
      <c r="T46" s="114"/>
      <c r="U46" s="110"/>
      <c r="V46" s="110"/>
      <c r="W46" s="110"/>
      <c r="X46" s="103"/>
      <c r="Y46" s="103"/>
      <c r="Z46" s="102">
        <f>(SUMIF(C:C,"=原油",M:M)*-1)/$Q$2</f>
        <v>1.6E-2</v>
      </c>
    </row>
    <row r="47" spans="1:27">
      <c r="A47" s="3">
        <v>43270</v>
      </c>
      <c r="B47" s="110" t="s">
        <v>39</v>
      </c>
      <c r="C47" s="110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10"/>
      <c r="T47" s="110"/>
      <c r="U47" s="110"/>
      <c r="V47" s="110"/>
      <c r="W47" s="110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0" t="s">
        <v>18</v>
      </c>
      <c r="C48" s="110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0"/>
      <c r="T48" s="110"/>
      <c r="U48" s="110"/>
      <c r="V48" s="110"/>
      <c r="W48" s="110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0" t="s">
        <v>18</v>
      </c>
      <c r="C49" s="110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0"/>
      <c r="S49" s="2"/>
      <c r="T49" s="110"/>
      <c r="U49" s="110"/>
      <c r="V49" s="110"/>
      <c r="W49" s="110"/>
      <c r="X49" s="2"/>
      <c r="Y49" s="72"/>
      <c r="Z49" s="59">
        <f>1-SUM(Z13:Z48)</f>
        <v>0.1173449124999999</v>
      </c>
    </row>
    <row r="50" spans="1:26">
      <c r="A50" s="3">
        <v>43270</v>
      </c>
      <c r="B50" s="110" t="s">
        <v>31</v>
      </c>
      <c r="C50" s="110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0"/>
      <c r="S50" s="103"/>
      <c r="T50" s="110"/>
      <c r="U50" s="110"/>
      <c r="V50" s="110"/>
      <c r="W50" s="110"/>
      <c r="X50" s="103"/>
      <c r="Y50" s="103"/>
      <c r="Z50" s="102"/>
    </row>
    <row r="51" spans="1:26">
      <c r="A51" s="3">
        <v>43270</v>
      </c>
      <c r="B51" s="110" t="s">
        <v>22</v>
      </c>
      <c r="C51" s="110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0"/>
      <c r="S51" s="110"/>
      <c r="T51" s="110"/>
      <c r="U51" s="110"/>
      <c r="V51" s="110"/>
      <c r="W51" s="110"/>
      <c r="X51" s="103"/>
      <c r="Y51" s="103"/>
      <c r="Z51" s="102"/>
    </row>
    <row r="52" spans="1:26">
      <c r="A52" s="3">
        <v>43271</v>
      </c>
      <c r="B52" s="110" t="s">
        <v>40</v>
      </c>
      <c r="C52" s="110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10"/>
      <c r="Q52" s="110"/>
      <c r="R52" s="110"/>
      <c r="S52" s="110"/>
      <c r="T52" s="110"/>
      <c r="U52" s="110"/>
      <c r="V52" s="110"/>
      <c r="W52" s="110"/>
    </row>
    <row r="53" spans="1:26">
      <c r="A53" s="3">
        <v>43279</v>
      </c>
      <c r="B53" s="110" t="s">
        <v>39</v>
      </c>
      <c r="C53" s="110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10"/>
      <c r="Q53" s="110"/>
      <c r="R53" s="110" t="s">
        <v>118</v>
      </c>
      <c r="S53" s="110"/>
      <c r="T53" s="110"/>
      <c r="U53" s="110"/>
      <c r="V53" s="110"/>
      <c r="W53" s="110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10"/>
      <c r="Q54" s="110" t="s">
        <v>7348</v>
      </c>
      <c r="R54" s="110" t="s">
        <v>160</v>
      </c>
      <c r="S54" s="110" t="s">
        <v>161</v>
      </c>
      <c r="T54" s="110" t="s">
        <v>162</v>
      </c>
      <c r="U54" s="110" t="s">
        <v>163</v>
      </c>
      <c r="V54" s="110"/>
      <c r="W54" s="110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0">
        <v>0</v>
      </c>
      <c r="R55" s="110">
        <v>93506.63</v>
      </c>
      <c r="S55" s="110">
        <f>$Q$2-R55</f>
        <v>706493.37</v>
      </c>
      <c r="T55" s="110">
        <v>0</v>
      </c>
      <c r="U55" s="60">
        <v>3.5000000000000003E-2</v>
      </c>
      <c r="V55" s="60"/>
      <c r="W55" s="110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0"/>
      <c r="V56" s="110"/>
      <c r="W56" s="110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0"/>
      <c r="V57" s="110"/>
      <c r="W57" s="110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0"/>
      <c r="V58" s="110"/>
      <c r="W58" s="110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0"/>
      <c r="V59" s="110"/>
      <c r="W59" s="110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0"/>
      <c r="V60" s="110"/>
      <c r="W60" s="110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0"/>
      <c r="V61" s="110"/>
      <c r="W61" s="110"/>
    </row>
    <row r="62" spans="1:26">
      <c r="A62" s="3">
        <v>43297</v>
      </c>
      <c r="B62" s="110" t="s">
        <v>23</v>
      </c>
      <c r="C62" s="110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0"/>
      <c r="V62" s="110"/>
      <c r="W62" s="110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0"/>
      <c r="V63" s="110"/>
      <c r="W63" s="110"/>
    </row>
    <row r="64" spans="1:26">
      <c r="A64" s="3">
        <v>43313</v>
      </c>
      <c r="B64" s="110" t="s">
        <v>19</v>
      </c>
      <c r="C64" s="110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0"/>
      <c r="V64" s="110"/>
      <c r="W64" s="110"/>
    </row>
    <row r="65" spans="1:22">
      <c r="A65" s="3">
        <v>43313</v>
      </c>
      <c r="B65" s="110" t="s">
        <v>18</v>
      </c>
      <c r="C65" s="110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0"/>
      <c r="V65" s="110"/>
    </row>
    <row r="66" spans="1:22">
      <c r="A66" s="3">
        <v>43318</v>
      </c>
      <c r="B66" s="110" t="s">
        <v>19</v>
      </c>
      <c r="C66" s="110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0"/>
      <c r="V66" s="110"/>
    </row>
    <row r="67" spans="1:22">
      <c r="A67" s="3">
        <v>43318</v>
      </c>
      <c r="B67" s="110" t="s">
        <v>18</v>
      </c>
      <c r="C67" s="110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0" t="s">
        <v>7497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0" t="s">
        <v>17</v>
      </c>
      <c r="C69" s="110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1" t="s">
        <v>64</v>
      </c>
      <c r="C73" s="111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8"/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8"/>
      <c r="R75" s="88"/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10"/>
      <c r="Q76" s="88"/>
      <c r="R76" s="88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8"/>
      <c r="R77" s="88"/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8"/>
      <c r="R78" s="88"/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8"/>
      <c r="R79" s="88"/>
    </row>
    <row r="80" spans="1:22">
      <c r="A80" s="3">
        <v>43343</v>
      </c>
      <c r="B80" s="111" t="s">
        <v>64</v>
      </c>
      <c r="C80" s="111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8"/>
      <c r="R80" s="88"/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10"/>
      <c r="Q81" s="88"/>
      <c r="R81" s="88"/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8"/>
      <c r="R82" s="88"/>
    </row>
    <row r="83" spans="1:30">
      <c r="A83" s="3">
        <v>43347</v>
      </c>
      <c r="B83" s="111" t="s">
        <v>64</v>
      </c>
      <c r="C83" s="111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8"/>
      <c r="R83" s="88"/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8"/>
      <c r="R84" s="88"/>
      <c r="S84" s="92"/>
    </row>
    <row r="85" spans="1:30">
      <c r="A85" s="3">
        <v>43357</v>
      </c>
      <c r="B85" s="110" t="s">
        <v>18</v>
      </c>
      <c r="C85" s="110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8"/>
      <c r="R85" s="88"/>
      <c r="S85" s="92"/>
      <c r="AA85" s="88"/>
      <c r="AB85" s="88"/>
      <c r="AC85" s="88"/>
      <c r="AD85" s="88"/>
    </row>
    <row r="86" spans="1:30">
      <c r="A86" s="3">
        <v>43371</v>
      </c>
      <c r="B86" s="110" t="s">
        <v>210</v>
      </c>
      <c r="C86" s="110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8"/>
      <c r="R86" s="88"/>
      <c r="S86" s="92"/>
    </row>
    <row r="87" spans="1:30">
      <c r="A87" s="3">
        <v>43371</v>
      </c>
      <c r="B87" s="110" t="s">
        <v>31</v>
      </c>
      <c r="C87" s="110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0"/>
      <c r="Q87" s="88"/>
      <c r="R87" s="88"/>
      <c r="S87" s="92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8"/>
      <c r="R88" s="88"/>
      <c r="S88" s="99"/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8"/>
      <c r="R89" s="88"/>
      <c r="S89" s="137"/>
    </row>
    <row r="90" spans="1:30">
      <c r="A90" s="3">
        <v>43371</v>
      </c>
      <c r="B90" s="110" t="s">
        <v>40</v>
      </c>
      <c r="C90" s="110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8"/>
      <c r="R90" s="88"/>
      <c r="S90" s="137"/>
    </row>
    <row r="91" spans="1:30">
      <c r="A91" s="3">
        <v>43384</v>
      </c>
      <c r="B91" s="110" t="s">
        <v>18</v>
      </c>
      <c r="C91" s="110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10"/>
      <c r="R91" s="88"/>
      <c r="S91" s="13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8"/>
      <c r="R92" s="88"/>
    </row>
    <row r="93" spans="1:30">
      <c r="A93" s="3">
        <v>43388</v>
      </c>
      <c r="B93" s="110" t="s">
        <v>22</v>
      </c>
      <c r="C93" s="110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8"/>
      <c r="R93" s="88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8"/>
      <c r="R94" s="88"/>
      <c r="T94" s="88"/>
      <c r="U94" s="88"/>
      <c r="V94" s="88"/>
      <c r="W94" s="88"/>
      <c r="X94" s="88"/>
      <c r="Y94" s="88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8"/>
      <c r="R95" s="88"/>
      <c r="T95" s="140"/>
      <c r="V95" s="15"/>
    </row>
    <row r="96" spans="1:30">
      <c r="A96" s="93">
        <v>43403</v>
      </c>
      <c r="B96" s="93" t="s">
        <v>4</v>
      </c>
      <c r="C96" s="93" t="s">
        <v>129</v>
      </c>
      <c r="D96" s="93" t="s">
        <v>11</v>
      </c>
      <c r="E96" s="94">
        <v>0.95799999999999996</v>
      </c>
      <c r="F96" s="94">
        <v>2.536</v>
      </c>
      <c r="G96" s="95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8"/>
      <c r="R96" s="88"/>
      <c r="T96" s="140"/>
      <c r="V96" s="15"/>
    </row>
    <row r="97" spans="1:22">
      <c r="A97" s="3">
        <v>43403</v>
      </c>
      <c r="B97" s="96" t="s">
        <v>210</v>
      </c>
      <c r="C97" s="96" t="s">
        <v>157</v>
      </c>
      <c r="D97" s="93" t="s">
        <v>11</v>
      </c>
      <c r="E97" s="94">
        <v>1.5649999999999999</v>
      </c>
      <c r="F97" s="94">
        <v>1.5649999999999999</v>
      </c>
      <c r="G97" s="95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8"/>
      <c r="R97" s="88"/>
      <c r="T97" s="140"/>
      <c r="V97" s="15"/>
    </row>
    <row r="98" spans="1:22">
      <c r="A98" s="3">
        <v>43403</v>
      </c>
      <c r="B98" s="110" t="s">
        <v>7370</v>
      </c>
      <c r="C98" s="110" t="s">
        <v>7371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8"/>
      <c r="R98" s="88"/>
      <c r="T98" s="140"/>
      <c r="V98" s="15"/>
    </row>
    <row r="99" spans="1:22">
      <c r="A99" s="3">
        <v>43403</v>
      </c>
      <c r="B99" s="110" t="s">
        <v>7372</v>
      </c>
      <c r="C99" s="110" t="s">
        <v>7373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8"/>
      <c r="R99" s="88"/>
      <c r="T99" s="140"/>
      <c r="V99" s="15"/>
    </row>
    <row r="100" spans="1:22">
      <c r="A100" s="3">
        <v>43403</v>
      </c>
      <c r="B100" s="91" t="s">
        <v>7374</v>
      </c>
      <c r="C100" s="91" t="s">
        <v>40</v>
      </c>
      <c r="D100" s="3" t="s">
        <v>7375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8"/>
      <c r="R100" s="88"/>
      <c r="T100" s="140"/>
      <c r="V100" s="15"/>
    </row>
    <row r="101" spans="1:22">
      <c r="A101" s="3">
        <v>43403</v>
      </c>
      <c r="B101" s="91" t="s">
        <v>31</v>
      </c>
      <c r="C101" s="91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8"/>
      <c r="R101" s="88"/>
      <c r="T101" s="140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8"/>
      <c r="R102" s="88"/>
      <c r="T102" s="140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8"/>
      <c r="R103" s="88"/>
      <c r="T103" s="140"/>
      <c r="V103" s="15"/>
    </row>
    <row r="104" spans="1:22">
      <c r="A104" s="93">
        <v>43419</v>
      </c>
      <c r="B104" s="93" t="s">
        <v>4</v>
      </c>
      <c r="C104" s="93" t="s">
        <v>129</v>
      </c>
      <c r="D104" s="93" t="s">
        <v>11</v>
      </c>
      <c r="E104" s="94">
        <v>0.99199999999999999</v>
      </c>
      <c r="F104" s="94">
        <v>2.5739999999999998</v>
      </c>
      <c r="G104" s="95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8"/>
      <c r="R104" s="88"/>
      <c r="T104" s="140"/>
      <c r="V104" s="15"/>
    </row>
    <row r="105" spans="1:22">
      <c r="A105" s="93">
        <v>43419</v>
      </c>
      <c r="B105" s="70" t="s">
        <v>7381</v>
      </c>
      <c r="C105" s="70" t="s">
        <v>7383</v>
      </c>
      <c r="D105" s="93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8"/>
      <c r="R105" s="88"/>
      <c r="T105" s="140"/>
      <c r="V105" s="15"/>
    </row>
    <row r="106" spans="1:22">
      <c r="A106" s="93">
        <v>43420</v>
      </c>
      <c r="B106" s="110" t="s">
        <v>7370</v>
      </c>
      <c r="C106" s="110" t="s">
        <v>7371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4">
        <v>0</v>
      </c>
      <c r="N106" s="4">
        <v>0</v>
      </c>
      <c r="O106" s="4"/>
      <c r="P106" s="3"/>
      <c r="Q106" s="88"/>
      <c r="R106" s="88"/>
      <c r="T106" s="141"/>
      <c r="V106" s="15"/>
    </row>
    <row r="107" spans="1:22">
      <c r="A107" s="93">
        <v>43420</v>
      </c>
      <c r="B107" s="96" t="s">
        <v>210</v>
      </c>
      <c r="C107" s="96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4">
        <v>0</v>
      </c>
      <c r="N107" s="4">
        <v>0</v>
      </c>
      <c r="O107" s="4"/>
      <c r="P107" s="3"/>
      <c r="Q107" s="88"/>
      <c r="R107" s="88"/>
      <c r="T107" s="141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8"/>
      <c r="R108" s="88"/>
      <c r="T108" s="141"/>
      <c r="U108" s="15"/>
      <c r="V108" s="15"/>
    </row>
    <row r="109" spans="1:22">
      <c r="A109" s="3">
        <v>43434</v>
      </c>
      <c r="B109" s="103" t="s">
        <v>7370</v>
      </c>
      <c r="C109" s="103" t="s">
        <v>7371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8"/>
      <c r="R109" s="88"/>
      <c r="T109" s="141"/>
      <c r="U109" s="15"/>
      <c r="V109" s="15"/>
    </row>
    <row r="110" spans="1:22">
      <c r="A110" s="3">
        <v>43434</v>
      </c>
      <c r="B110" s="96" t="s">
        <v>7385</v>
      </c>
      <c r="C110" s="96" t="s">
        <v>7386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8"/>
      <c r="R110" s="88"/>
      <c r="T110" s="141"/>
      <c r="U110" s="15"/>
      <c r="V110" s="15"/>
    </row>
    <row r="111" spans="1:22">
      <c r="A111" s="3">
        <v>43434</v>
      </c>
      <c r="B111" s="96" t="s">
        <v>7387</v>
      </c>
      <c r="C111" s="96" t="s">
        <v>7388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8"/>
      <c r="R111" s="88"/>
      <c r="T111" s="141"/>
      <c r="U111" s="15"/>
      <c r="V111" s="15"/>
    </row>
    <row r="112" spans="1:22">
      <c r="A112" s="3">
        <v>43434</v>
      </c>
      <c r="B112" s="103" t="s">
        <v>31</v>
      </c>
      <c r="C112" s="103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8"/>
      <c r="R112" s="88"/>
      <c r="T112" s="141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8"/>
      <c r="R113" s="88"/>
      <c r="T113" s="141"/>
      <c r="U113" s="15"/>
      <c r="V113" s="15"/>
    </row>
    <row r="114" spans="1:22">
      <c r="A114" s="3">
        <v>43461</v>
      </c>
      <c r="B114" s="96" t="s">
        <v>7387</v>
      </c>
      <c r="C114" s="96" t="s">
        <v>7388</v>
      </c>
      <c r="D114" s="3" t="s">
        <v>11</v>
      </c>
      <c r="E114" s="94">
        <v>0.46700000000000003</v>
      </c>
      <c r="F114" s="94">
        <v>0.46700000000000003</v>
      </c>
      <c r="G114" s="95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8"/>
      <c r="R114" s="88"/>
      <c r="T114" s="141"/>
      <c r="U114" s="15"/>
      <c r="V114" s="15"/>
    </row>
    <row r="115" spans="1:22">
      <c r="A115" s="3">
        <v>43461</v>
      </c>
      <c r="B115" s="93" t="s">
        <v>4</v>
      </c>
      <c r="C115" s="93" t="s">
        <v>129</v>
      </c>
      <c r="D115" s="93" t="s">
        <v>11</v>
      </c>
      <c r="E115" s="94">
        <v>0.95799999999999996</v>
      </c>
      <c r="F115" s="94">
        <v>2.536</v>
      </c>
      <c r="G115" s="95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8"/>
      <c r="R115" s="88"/>
      <c r="T115" s="141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8"/>
      <c r="R116" s="88"/>
      <c r="T116" s="141"/>
      <c r="U116" s="15"/>
      <c r="V116" s="15"/>
    </row>
    <row r="117" spans="1:22">
      <c r="A117" s="3">
        <v>43480</v>
      </c>
      <c r="B117" s="110" t="s">
        <v>7397</v>
      </c>
      <c r="C117" s="110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8"/>
      <c r="R117" s="88"/>
      <c r="T117" s="141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8"/>
      <c r="R118" s="88"/>
      <c r="T118" s="141"/>
      <c r="U118" s="15"/>
      <c r="V118" s="15"/>
    </row>
    <row r="119" spans="1:22">
      <c r="A119" s="3">
        <v>43496</v>
      </c>
      <c r="B119" s="96" t="s">
        <v>210</v>
      </c>
      <c r="C119" s="96" t="s">
        <v>157</v>
      </c>
      <c r="D119" s="93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8"/>
      <c r="R119" s="88"/>
      <c r="T119" s="141"/>
      <c r="U119" s="15"/>
      <c r="V119" s="15"/>
    </row>
    <row r="120" spans="1:22">
      <c r="A120" s="3">
        <v>43496</v>
      </c>
      <c r="B120" s="110" t="s">
        <v>7398</v>
      </c>
      <c r="C120" s="110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8"/>
      <c r="R120" s="88"/>
      <c r="T120" s="141"/>
      <c r="U120" s="15"/>
      <c r="V120" s="15"/>
    </row>
    <row r="121" spans="1:22">
      <c r="A121" s="3">
        <v>43531</v>
      </c>
      <c r="B121" s="110" t="s">
        <v>18</v>
      </c>
      <c r="C121" s="110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12">
        <v>8163.4</v>
      </c>
      <c r="N121" s="113">
        <v>1.63</v>
      </c>
      <c r="P121" s="3"/>
      <c r="Q121" s="88"/>
      <c r="R121" s="88"/>
      <c r="T121" s="141"/>
      <c r="U121" s="15"/>
      <c r="V121" s="15"/>
    </row>
    <row r="122" spans="1:22">
      <c r="A122" s="3"/>
      <c r="B122" s="103"/>
      <c r="C122" s="103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8"/>
      <c r="R122" s="88"/>
      <c r="T122" s="141"/>
      <c r="U122" s="15"/>
      <c r="V122" s="15"/>
    </row>
    <row r="123" spans="1:22">
      <c r="A123" s="3"/>
      <c r="B123" s="101"/>
      <c r="C123" s="10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8"/>
      <c r="R123" s="88"/>
      <c r="T123" s="141"/>
      <c r="U123" s="15"/>
      <c r="V123" s="15"/>
    </row>
    <row r="124" spans="1:22">
      <c r="A124" s="3"/>
      <c r="B124" s="101"/>
      <c r="C124" s="101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8"/>
      <c r="R124" s="88"/>
      <c r="T124" s="141"/>
      <c r="U124" s="15"/>
      <c r="V124" s="15"/>
    </row>
    <row r="125" spans="1:22">
      <c r="A125" s="3"/>
      <c r="B125" s="101"/>
      <c r="C125" s="10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8"/>
      <c r="R125" s="88"/>
      <c r="T125" s="141"/>
      <c r="U125" s="15"/>
      <c r="V125" s="15"/>
    </row>
    <row r="126" spans="1:22">
      <c r="A126" s="3"/>
      <c r="B126" s="101"/>
      <c r="C126" s="101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8"/>
      <c r="R126" s="88"/>
      <c r="T126" s="140"/>
      <c r="U126" s="15"/>
      <c r="V126" s="15"/>
    </row>
    <row r="127" spans="1:22">
      <c r="A127" s="3"/>
      <c r="B127" s="101"/>
      <c r="C127" s="101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8"/>
      <c r="R127" s="88"/>
      <c r="T127" s="140"/>
      <c r="U127" s="15"/>
      <c r="V127" s="15"/>
    </row>
    <row r="128" spans="1:22">
      <c r="A128" s="3"/>
      <c r="B128" s="101"/>
      <c r="C128" s="10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8"/>
      <c r="R128" s="88"/>
      <c r="T128" s="140"/>
      <c r="U128" s="15"/>
      <c r="V128" s="15"/>
    </row>
    <row r="129" spans="1:22">
      <c r="A129" s="3"/>
      <c r="B129" s="101"/>
      <c r="C129" s="101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8"/>
      <c r="R129" s="88"/>
      <c r="T129" s="140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1"/>
      <c r="C131" s="10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1"/>
      <c r="C132" s="10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1"/>
      <c r="C133" s="101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1"/>
      <c r="C134" s="101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1"/>
      <c r="C135" s="101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1"/>
      <c r="C136" s="101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31.212942145172736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workbookViewId="0">
      <selection activeCell="E2" sqref="E2:E23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19" t="s">
        <v>7498</v>
      </c>
      <c r="B1" s="126" t="s">
        <v>7542</v>
      </c>
      <c r="C1" s="119" t="s">
        <v>7499</v>
      </c>
      <c r="D1" s="126" t="s">
        <v>7543</v>
      </c>
      <c r="E1" s="120" t="s">
        <v>7500</v>
      </c>
      <c r="F1" s="120" t="s">
        <v>7501</v>
      </c>
      <c r="G1" s="120" t="s">
        <v>7502</v>
      </c>
      <c r="H1" s="120" t="s">
        <v>7503</v>
      </c>
      <c r="I1" s="120" t="s">
        <v>7504</v>
      </c>
      <c r="J1" s="120" t="s">
        <v>7505</v>
      </c>
      <c r="K1" s="120" t="s">
        <v>7544</v>
      </c>
      <c r="L1" s="121"/>
      <c r="M1" s="120" t="s">
        <v>7547</v>
      </c>
      <c r="O1" s="126" t="s">
        <v>7549</v>
      </c>
      <c r="P1" s="126"/>
    </row>
    <row r="2" spans="1:16">
      <c r="A2" s="147" t="s">
        <v>7506</v>
      </c>
      <c r="B2" s="146">
        <f>SUM(K2:K14)</f>
        <v>0.51281516291592033</v>
      </c>
      <c r="C2" s="147" t="s">
        <v>7507</v>
      </c>
      <c r="D2" s="146">
        <f>SUM(K2:K3)</f>
        <v>4.6006488779477286E-2</v>
      </c>
      <c r="E2" s="120" t="s">
        <v>7508</v>
      </c>
      <c r="F2" s="122">
        <v>7497.9</v>
      </c>
      <c r="G2" s="122"/>
      <c r="H2" s="122"/>
      <c r="I2" s="122"/>
      <c r="J2" s="122">
        <f>SUM(F2:I2)</f>
        <v>7497.9</v>
      </c>
      <c r="K2" s="123">
        <f t="shared" ref="K2:K26" si="0">J2/$J$26</f>
        <v>5.9096741315878935E-3</v>
      </c>
      <c r="L2" s="121"/>
      <c r="M2" s="120">
        <f>M4+M6+M8+M10</f>
        <v>1198159.49</v>
      </c>
      <c r="O2" s="126" t="s">
        <v>7550</v>
      </c>
      <c r="P2" s="126" t="s">
        <v>7551</v>
      </c>
    </row>
    <row r="3" spans="1:16">
      <c r="A3" s="147"/>
      <c r="B3" s="147"/>
      <c r="C3" s="147"/>
      <c r="D3" s="147"/>
      <c r="E3" s="120" t="s">
        <v>7509</v>
      </c>
      <c r="F3" s="122">
        <v>28334.6</v>
      </c>
      <c r="G3" s="122">
        <v>22538.240000000002</v>
      </c>
      <c r="H3" s="122"/>
      <c r="I3" s="122"/>
      <c r="J3" s="122">
        <f t="shared" ref="J3:J23" si="1">SUM(F3:I3)</f>
        <v>50872.84</v>
      </c>
      <c r="K3" s="123">
        <f t="shared" si="0"/>
        <v>4.0096814647889389E-2</v>
      </c>
      <c r="L3" s="121"/>
      <c r="M3" s="120" t="s">
        <v>7548</v>
      </c>
      <c r="N3" s="121"/>
      <c r="O3" s="120" t="s">
        <v>7506</v>
      </c>
      <c r="P3" s="124">
        <f>B2</f>
        <v>0.51281516291592033</v>
      </c>
    </row>
    <row r="4" spans="1:16">
      <c r="A4" s="147"/>
      <c r="B4" s="147"/>
      <c r="C4" s="147" t="s">
        <v>7510</v>
      </c>
      <c r="D4" s="146">
        <f>SUM(K4:K6)</f>
        <v>0.20036978753957366</v>
      </c>
      <c r="E4" s="120" t="s">
        <v>7511</v>
      </c>
      <c r="F4" s="122">
        <v>175240.2</v>
      </c>
      <c r="G4" s="122">
        <v>16345.39</v>
      </c>
      <c r="H4" s="122"/>
      <c r="I4" s="122"/>
      <c r="J4" s="122">
        <f>SUM(F4:I4)</f>
        <v>191585.59000000003</v>
      </c>
      <c r="K4" s="123">
        <f t="shared" si="0"/>
        <v>0.15100340164686171</v>
      </c>
      <c r="L4" s="121"/>
      <c r="M4" s="120">
        <v>800000</v>
      </c>
      <c r="N4" s="121"/>
      <c r="O4" s="126" t="s">
        <v>7523</v>
      </c>
      <c r="P4" s="60">
        <f>B15</f>
        <v>1.599010635789792E-2</v>
      </c>
    </row>
    <row r="5" spans="1:16">
      <c r="A5" s="147"/>
      <c r="B5" s="147"/>
      <c r="C5" s="147"/>
      <c r="D5" s="147"/>
      <c r="E5" s="120" t="s">
        <v>7512</v>
      </c>
      <c r="F5" s="122">
        <v>39366.6</v>
      </c>
      <c r="G5" s="122"/>
      <c r="H5" s="122"/>
      <c r="I5" s="122"/>
      <c r="J5" s="122">
        <f t="shared" si="1"/>
        <v>39366.6</v>
      </c>
      <c r="K5" s="123">
        <f t="shared" si="0"/>
        <v>3.1027858156092773E-2</v>
      </c>
      <c r="L5" s="121"/>
      <c r="M5" s="120" t="s">
        <v>7545</v>
      </c>
      <c r="N5" s="121"/>
      <c r="O5" s="126" t="s">
        <v>7527</v>
      </c>
      <c r="P5" s="60">
        <f>B17</f>
        <v>1.2393015185905477E-2</v>
      </c>
    </row>
    <row r="6" spans="1:16">
      <c r="A6" s="147"/>
      <c r="B6" s="147"/>
      <c r="C6" s="147"/>
      <c r="D6" s="147"/>
      <c r="E6" s="120" t="s">
        <v>40</v>
      </c>
      <c r="F6" s="122">
        <v>14913.2</v>
      </c>
      <c r="G6" s="130">
        <v>8353.81</v>
      </c>
      <c r="H6" s="122"/>
      <c r="I6" s="122"/>
      <c r="J6" s="122">
        <f t="shared" si="1"/>
        <v>23267.010000000002</v>
      </c>
      <c r="K6" s="123">
        <f t="shared" si="0"/>
        <v>1.8338527736619169E-2</v>
      </c>
      <c r="L6" s="121"/>
      <c r="M6" s="120">
        <v>100000</v>
      </c>
      <c r="N6" s="121"/>
      <c r="O6" s="126" t="s">
        <v>7529</v>
      </c>
      <c r="P6" s="60">
        <f>B18</f>
        <v>2.8876457442180745E-2</v>
      </c>
    </row>
    <row r="7" spans="1:16">
      <c r="A7" s="147"/>
      <c r="B7" s="147"/>
      <c r="C7" s="119" t="s">
        <v>7513</v>
      </c>
      <c r="D7" s="125">
        <f>SUM(K7:K7)</f>
        <v>5.9384812215511382E-2</v>
      </c>
      <c r="E7" s="120" t="s">
        <v>7514</v>
      </c>
      <c r="F7" s="122"/>
      <c r="G7" s="122">
        <v>75344.490000000005</v>
      </c>
      <c r="H7" s="122"/>
      <c r="I7" s="122"/>
      <c r="J7" s="122">
        <f t="shared" si="1"/>
        <v>75344.490000000005</v>
      </c>
      <c r="K7" s="123">
        <f t="shared" si="0"/>
        <v>5.9384812215511382E-2</v>
      </c>
      <c r="L7" s="121"/>
      <c r="M7" s="120" t="s">
        <v>7546</v>
      </c>
      <c r="N7" s="121"/>
      <c r="O7" s="126" t="s">
        <v>7531</v>
      </c>
      <c r="P7" s="60">
        <f>B21</f>
        <v>4.5288262269066445E-2</v>
      </c>
    </row>
    <row r="8" spans="1:16">
      <c r="A8" s="147"/>
      <c r="B8" s="147"/>
      <c r="C8" s="147" t="s">
        <v>7515</v>
      </c>
      <c r="D8" s="146">
        <f>SUM(K8:K14)</f>
        <v>0.20705407438135814</v>
      </c>
      <c r="E8" s="120" t="s">
        <v>7516</v>
      </c>
      <c r="F8" s="122"/>
      <c r="G8" s="122">
        <v>65020.1</v>
      </c>
      <c r="H8" s="122"/>
      <c r="I8" s="122"/>
      <c r="J8" s="122">
        <f t="shared" si="1"/>
        <v>65020.1</v>
      </c>
      <c r="K8" s="123">
        <f t="shared" si="0"/>
        <v>5.1247362995406449E-2</v>
      </c>
      <c r="L8" s="121"/>
      <c r="M8" s="120">
        <v>16634.060000000001</v>
      </c>
      <c r="N8" s="121"/>
      <c r="O8" s="126" t="s">
        <v>7536</v>
      </c>
      <c r="P8" s="60">
        <f>B23</f>
        <v>0.16274505927944083</v>
      </c>
    </row>
    <row r="9" spans="1:16">
      <c r="A9" s="147"/>
      <c r="B9" s="147"/>
      <c r="C9" s="147"/>
      <c r="D9" s="147"/>
      <c r="E9" s="120" t="s">
        <v>7517</v>
      </c>
      <c r="F9" s="122">
        <v>18979.2</v>
      </c>
      <c r="G9" s="122">
        <v>33652.699999999997</v>
      </c>
      <c r="H9" s="122"/>
      <c r="I9" s="122"/>
      <c r="J9" s="122">
        <f t="shared" si="1"/>
        <v>52631.899999999994</v>
      </c>
      <c r="K9" s="123">
        <f t="shared" si="0"/>
        <v>4.1483265704573398E-2</v>
      </c>
      <c r="L9" s="121"/>
      <c r="M9" s="120" t="s">
        <v>7552</v>
      </c>
      <c r="N9" s="121"/>
      <c r="O9" s="128" t="s">
        <v>7553</v>
      </c>
      <c r="P9" s="60">
        <f>B25</f>
        <v>0.22189193654958836</v>
      </c>
    </row>
    <row r="10" spans="1:16">
      <c r="A10" s="147"/>
      <c r="B10" s="147"/>
      <c r="C10" s="147"/>
      <c r="D10" s="147"/>
      <c r="E10" s="120" t="s">
        <v>7518</v>
      </c>
      <c r="F10" s="122">
        <v>31474.3</v>
      </c>
      <c r="G10" s="122"/>
      <c r="H10" s="122"/>
      <c r="I10" s="122"/>
      <c r="J10" s="122">
        <f t="shared" si="1"/>
        <v>31474.3</v>
      </c>
      <c r="K10" s="123">
        <f t="shared" si="0"/>
        <v>2.4807326920849419E-2</v>
      </c>
      <c r="L10" s="121"/>
      <c r="M10" s="120">
        <v>281525.43</v>
      </c>
      <c r="N10" s="121"/>
      <c r="O10" s="121"/>
      <c r="P10" s="121"/>
    </row>
    <row r="11" spans="1:16">
      <c r="A11" s="147"/>
      <c r="B11" s="147"/>
      <c r="C11" s="147"/>
      <c r="D11" s="147"/>
      <c r="E11" s="120" t="s">
        <v>7519</v>
      </c>
      <c r="F11" s="122">
        <v>28256.799999999999</v>
      </c>
      <c r="G11" s="122">
        <v>8342.59</v>
      </c>
      <c r="H11" s="122">
        <v>10413.92</v>
      </c>
      <c r="I11" s="122"/>
      <c r="J11" s="122">
        <f t="shared" si="1"/>
        <v>47013.31</v>
      </c>
      <c r="K11" s="123">
        <f t="shared" si="0"/>
        <v>3.7054820942840322E-2</v>
      </c>
      <c r="L11" s="121"/>
      <c r="M11" s="121"/>
      <c r="N11" s="121"/>
      <c r="O11" s="121"/>
      <c r="P11" s="121"/>
    </row>
    <row r="12" spans="1:16">
      <c r="A12" s="147"/>
      <c r="B12" s="147"/>
      <c r="C12" s="147"/>
      <c r="D12" s="147"/>
      <c r="E12" s="120" t="s">
        <v>7520</v>
      </c>
      <c r="F12" s="122"/>
      <c r="G12" s="130">
        <v>8983.14</v>
      </c>
      <c r="H12" s="122"/>
      <c r="I12" s="122"/>
      <c r="J12" s="122">
        <f t="shared" si="1"/>
        <v>8983.14</v>
      </c>
      <c r="K12" s="123">
        <f t="shared" si="0"/>
        <v>7.0803064962766202E-3</v>
      </c>
      <c r="L12" s="121"/>
      <c r="M12" s="121"/>
      <c r="N12" s="121"/>
      <c r="O12" s="121"/>
      <c r="P12" s="121"/>
    </row>
    <row r="13" spans="1:16">
      <c r="A13" s="147"/>
      <c r="B13" s="147"/>
      <c r="C13" s="147"/>
      <c r="D13" s="147"/>
      <c r="E13" s="120" t="s">
        <v>7521</v>
      </c>
      <c r="F13" s="122"/>
      <c r="G13" s="122">
        <v>22882.44</v>
      </c>
      <c r="H13" s="122"/>
      <c r="I13" s="122"/>
      <c r="J13" s="122">
        <f t="shared" si="1"/>
        <v>22882.44</v>
      </c>
      <c r="K13" s="123">
        <f t="shared" si="0"/>
        <v>1.803541841523788E-2</v>
      </c>
      <c r="L13" s="121"/>
      <c r="M13" s="121"/>
      <c r="N13" s="121"/>
      <c r="O13" s="121"/>
      <c r="P13" s="121"/>
    </row>
    <row r="14" spans="1:16">
      <c r="A14" s="147"/>
      <c r="B14" s="147"/>
      <c r="C14" s="147"/>
      <c r="D14" s="147"/>
      <c r="E14" s="120" t="s">
        <v>7522</v>
      </c>
      <c r="F14" s="122">
        <v>34694.699999999997</v>
      </c>
      <c r="G14" s="122"/>
      <c r="H14" s="122"/>
      <c r="I14" s="122"/>
      <c r="J14" s="122">
        <f t="shared" si="1"/>
        <v>34694.699999999997</v>
      </c>
      <c r="K14" s="123">
        <f t="shared" si="0"/>
        <v>2.7345572906174061E-2</v>
      </c>
      <c r="L14" s="121"/>
      <c r="M14" s="121"/>
      <c r="N14" s="121"/>
      <c r="O14" s="121"/>
      <c r="P14" s="121"/>
    </row>
    <row r="15" spans="1:16">
      <c r="A15" s="147" t="s">
        <v>7523</v>
      </c>
      <c r="B15" s="146">
        <f>SUM(K15:K16)</f>
        <v>1.599010635789792E-2</v>
      </c>
      <c r="C15" s="119" t="s">
        <v>7524</v>
      </c>
      <c r="D15" s="125">
        <f t="shared" ref="D15:D25" si="2">SUM(K15:K15)</f>
        <v>5.3044170650587358E-3</v>
      </c>
      <c r="E15" s="120" t="s">
        <v>7525</v>
      </c>
      <c r="F15" s="122"/>
      <c r="G15" s="130">
        <v>6729.98</v>
      </c>
      <c r="H15" s="122"/>
      <c r="I15" s="122"/>
      <c r="J15" s="122">
        <f t="shared" si="1"/>
        <v>6729.98</v>
      </c>
      <c r="K15" s="123">
        <f t="shared" si="0"/>
        <v>5.3044170650587358E-3</v>
      </c>
      <c r="L15" s="121"/>
      <c r="M15" s="121"/>
      <c r="P15" s="121"/>
    </row>
    <row r="16" spans="1:16">
      <c r="A16" s="147"/>
      <c r="B16" s="147"/>
      <c r="C16" s="119" t="s">
        <v>7526</v>
      </c>
      <c r="D16" s="125">
        <f t="shared" si="2"/>
        <v>1.0685689292839185E-2</v>
      </c>
      <c r="E16" s="120" t="s">
        <v>7383</v>
      </c>
      <c r="F16" s="122"/>
      <c r="G16" s="130">
        <v>13557.47</v>
      </c>
      <c r="H16" s="122"/>
      <c r="I16" s="122"/>
      <c r="J16" s="122">
        <f t="shared" si="1"/>
        <v>13557.47</v>
      </c>
      <c r="K16" s="123">
        <f t="shared" si="0"/>
        <v>1.0685689292839185E-2</v>
      </c>
      <c r="L16" s="121"/>
      <c r="M16" s="121"/>
      <c r="P16" s="121"/>
    </row>
    <row r="17" spans="1:16">
      <c r="A17" s="119" t="s">
        <v>7527</v>
      </c>
      <c r="B17" s="125">
        <f>SUM(K17:K17)</f>
        <v>1.2393015185905477E-2</v>
      </c>
      <c r="C17" s="119" t="s">
        <v>7528</v>
      </c>
      <c r="D17" s="125">
        <f t="shared" si="2"/>
        <v>1.2393015185905477E-2</v>
      </c>
      <c r="E17" s="120" t="s">
        <v>119</v>
      </c>
      <c r="F17" s="122"/>
      <c r="G17" s="130">
        <v>15723.64</v>
      </c>
      <c r="H17" s="122"/>
      <c r="I17" s="122"/>
      <c r="J17" s="122">
        <f t="shared" si="1"/>
        <v>15723.64</v>
      </c>
      <c r="K17" s="123">
        <f t="shared" si="0"/>
        <v>1.2393015185905477E-2</v>
      </c>
      <c r="L17" s="121"/>
      <c r="M17" s="121"/>
      <c r="P17" s="121"/>
    </row>
    <row r="18" spans="1:16">
      <c r="A18" s="147" t="s">
        <v>7529</v>
      </c>
      <c r="B18" s="146">
        <f>SUM(K18:K20)</f>
        <v>2.8876457442180745E-2</v>
      </c>
      <c r="C18" s="119" t="s">
        <v>7388</v>
      </c>
      <c r="D18" s="125">
        <f t="shared" si="2"/>
        <v>1.0345669631285014E-2</v>
      </c>
      <c r="E18" s="120" t="s">
        <v>7388</v>
      </c>
      <c r="F18" s="122"/>
      <c r="G18" s="130">
        <v>13126.07</v>
      </c>
      <c r="H18" s="122"/>
      <c r="I18" s="122"/>
      <c r="J18" s="122">
        <f t="shared" si="1"/>
        <v>13126.07</v>
      </c>
      <c r="K18" s="123">
        <f t="shared" si="0"/>
        <v>1.0345669631285014E-2</v>
      </c>
      <c r="L18" s="121"/>
      <c r="M18" s="121"/>
      <c r="P18" s="121"/>
    </row>
    <row r="19" spans="1:16">
      <c r="A19" s="147"/>
      <c r="B19" s="147"/>
      <c r="C19" s="119" t="s">
        <v>143</v>
      </c>
      <c r="D19" s="125">
        <f t="shared" si="2"/>
        <v>5.358974693646542E-3</v>
      </c>
      <c r="E19" s="120" t="s">
        <v>143</v>
      </c>
      <c r="F19" s="122">
        <v>6799.2</v>
      </c>
      <c r="G19" s="122"/>
      <c r="H19" s="122"/>
      <c r="I19" s="122"/>
      <c r="J19" s="122">
        <f t="shared" si="1"/>
        <v>6799.2</v>
      </c>
      <c r="K19" s="123">
        <f t="shared" si="0"/>
        <v>5.358974693646542E-3</v>
      </c>
      <c r="L19" s="121"/>
      <c r="M19" s="121"/>
      <c r="P19" s="121"/>
    </row>
    <row r="20" spans="1:16">
      <c r="A20" s="147"/>
      <c r="B20" s="147"/>
      <c r="C20" s="119" t="s">
        <v>7530</v>
      </c>
      <c r="D20" s="125">
        <f t="shared" si="2"/>
        <v>1.3171813117249187E-2</v>
      </c>
      <c r="E20" s="120" t="s">
        <v>7530</v>
      </c>
      <c r="F20" s="122"/>
      <c r="G20" s="122"/>
      <c r="H20" s="122"/>
      <c r="I20" s="122">
        <v>16711.740000000002</v>
      </c>
      <c r="J20" s="122">
        <f t="shared" si="1"/>
        <v>16711.740000000002</v>
      </c>
      <c r="K20" s="123">
        <f t="shared" si="0"/>
        <v>1.3171813117249187E-2</v>
      </c>
      <c r="L20" s="121"/>
      <c r="M20" s="121"/>
      <c r="P20" s="121"/>
    </row>
    <row r="21" spans="1:16">
      <c r="A21" s="147" t="s">
        <v>7531</v>
      </c>
      <c r="B21" s="146">
        <f>SUM(K21:K22)</f>
        <v>4.5288262269066445E-2</v>
      </c>
      <c r="C21" s="119" t="s">
        <v>7532</v>
      </c>
      <c r="D21" s="125">
        <f t="shared" si="2"/>
        <v>3.9792475770012915E-2</v>
      </c>
      <c r="E21" s="120" t="s">
        <v>7533</v>
      </c>
      <c r="F21" s="122"/>
      <c r="G21" s="130">
        <f>36204.24+7373.21+6909.26</f>
        <v>50486.71</v>
      </c>
      <c r="H21" s="122"/>
      <c r="I21" s="122"/>
      <c r="J21" s="122">
        <f t="shared" si="1"/>
        <v>50486.71</v>
      </c>
      <c r="K21" s="123">
        <f t="shared" si="0"/>
        <v>3.9792475770012915E-2</v>
      </c>
      <c r="L21" s="121"/>
      <c r="M21" s="121"/>
      <c r="P21" s="121"/>
    </row>
    <row r="22" spans="1:16">
      <c r="A22" s="147"/>
      <c r="B22" s="147"/>
      <c r="C22" s="119" t="s">
        <v>7534</v>
      </c>
      <c r="D22" s="125">
        <f t="shared" si="2"/>
        <v>5.4957864990535267E-3</v>
      </c>
      <c r="E22" s="120" t="s">
        <v>7535</v>
      </c>
      <c r="F22" s="122"/>
      <c r="G22" s="130">
        <v>6972.78</v>
      </c>
      <c r="H22" s="122"/>
      <c r="I22" s="122"/>
      <c r="J22" s="122">
        <f t="shared" si="1"/>
        <v>6972.78</v>
      </c>
      <c r="K22" s="123">
        <f t="shared" si="0"/>
        <v>5.4957864990535267E-3</v>
      </c>
      <c r="L22" s="121"/>
      <c r="M22" s="121"/>
      <c r="P22" s="121"/>
    </row>
    <row r="23" spans="1:16">
      <c r="A23" s="147" t="s">
        <v>7536</v>
      </c>
      <c r="B23" s="146">
        <f>SUM(K23:K24)</f>
        <v>0.16274505927944083</v>
      </c>
      <c r="C23" s="119" t="s">
        <v>7537</v>
      </c>
      <c r="D23" s="125">
        <f t="shared" si="2"/>
        <v>8.1089897163047472E-2</v>
      </c>
      <c r="E23" s="120" t="s">
        <v>7538</v>
      </c>
      <c r="F23" s="122"/>
      <c r="G23" s="122">
        <f>102400+482.82</f>
        <v>102882.82</v>
      </c>
      <c r="H23" s="122"/>
      <c r="I23" s="122"/>
      <c r="J23" s="122">
        <f t="shared" si="1"/>
        <v>102882.82</v>
      </c>
      <c r="K23" s="123">
        <f t="shared" si="0"/>
        <v>8.1089897163047472E-2</v>
      </c>
      <c r="L23" s="121"/>
      <c r="M23" s="121"/>
      <c r="P23" s="121"/>
    </row>
    <row r="24" spans="1:16">
      <c r="A24" s="147"/>
      <c r="B24" s="147"/>
      <c r="C24" s="119" t="s">
        <v>7539</v>
      </c>
      <c r="D24" s="125">
        <f t="shared" si="2"/>
        <v>8.1655162116393371E-2</v>
      </c>
      <c r="E24" s="120" t="s">
        <v>7540</v>
      </c>
      <c r="F24" s="122"/>
      <c r="G24" s="122">
        <f>100000+3600</f>
        <v>103600</v>
      </c>
      <c r="H24" s="122"/>
      <c r="I24" s="122"/>
      <c r="J24" s="122">
        <f t="shared" ref="J24" si="3">SUM(F24:I24)</f>
        <v>103600</v>
      </c>
      <c r="K24" s="123">
        <f t="shared" si="0"/>
        <v>8.1655162116393371E-2</v>
      </c>
      <c r="L24" s="121"/>
      <c r="M24" s="121"/>
      <c r="P24" s="121"/>
    </row>
    <row r="25" spans="1:16">
      <c r="A25" s="128" t="s">
        <v>7553</v>
      </c>
      <c r="B25" s="127">
        <f>SUM(K25:K25)</f>
        <v>0.22189193654958836</v>
      </c>
      <c r="C25" s="128" t="s">
        <v>7554</v>
      </c>
      <c r="D25" s="127">
        <f t="shared" si="2"/>
        <v>0.22189193654958836</v>
      </c>
      <c r="E25" s="120" t="s">
        <v>7555</v>
      </c>
      <c r="F25" s="122"/>
      <c r="G25" s="122"/>
      <c r="H25" s="122"/>
      <c r="I25" s="122"/>
      <c r="J25" s="122">
        <f>M10</f>
        <v>281525.43</v>
      </c>
      <c r="K25" s="123">
        <f t="shared" si="0"/>
        <v>0.22189193654958836</v>
      </c>
      <c r="L25" s="121"/>
      <c r="M25" s="121"/>
      <c r="P25" s="121"/>
    </row>
    <row r="26" spans="1:16">
      <c r="A26" s="120"/>
      <c r="B26" s="120"/>
      <c r="C26" s="120"/>
      <c r="D26" s="120"/>
      <c r="E26" s="120" t="s">
        <v>7505</v>
      </c>
      <c r="F26" s="120"/>
      <c r="G26" s="120"/>
      <c r="H26" s="120"/>
      <c r="I26" s="120"/>
      <c r="J26" s="122">
        <f>SUM(J2:J25)</f>
        <v>1268750.1599999997</v>
      </c>
      <c r="K26" s="123">
        <f t="shared" si="0"/>
        <v>1</v>
      </c>
      <c r="L26" s="121"/>
      <c r="M26" s="121"/>
      <c r="P26" s="121"/>
    </row>
    <row r="27" spans="1:16">
      <c r="A27" s="121"/>
      <c r="B27" s="121"/>
      <c r="C27" s="121"/>
      <c r="D27" s="121"/>
      <c r="E27" s="120" t="s">
        <v>7541</v>
      </c>
      <c r="F27" s="120"/>
      <c r="G27" s="120"/>
      <c r="H27" s="120"/>
      <c r="I27" s="120"/>
      <c r="J27" s="124">
        <f>J26/$M$2-1</f>
        <v>5.8915921118314341E-2</v>
      </c>
      <c r="K27" s="123"/>
      <c r="L27" s="121"/>
      <c r="M27" s="121"/>
      <c r="P27" s="121"/>
    </row>
    <row r="30" spans="1:16">
      <c r="A30" s="129" t="s">
        <v>7556</v>
      </c>
      <c r="B30" s="129" t="s">
        <v>7560</v>
      </c>
      <c r="C30" s="129" t="s">
        <v>7557</v>
      </c>
      <c r="D30" s="129" t="s">
        <v>7558</v>
      </c>
      <c r="E30" s="129" t="s">
        <v>7561</v>
      </c>
      <c r="F30" s="120" t="s">
        <v>7559</v>
      </c>
    </row>
    <row r="31" spans="1:16">
      <c r="A31" s="129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29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29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29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29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29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29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29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29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29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29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29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29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29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29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29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29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29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29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29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29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29" t="str">
        <f t="shared" si="4"/>
        <v>货币基金</v>
      </c>
      <c r="B52" s="129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29" t="str">
        <f t="shared" si="4"/>
        <v>地产定期</v>
      </c>
      <c r="B53" s="129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29" t="str">
        <f t="shared" si="4"/>
        <v>公积金</v>
      </c>
      <c r="B54" s="129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9"/>
    </row>
    <row r="55" spans="1:6">
      <c r="A55" s="129" t="str">
        <f t="shared" si="4"/>
        <v>总市值</v>
      </c>
      <c r="B55" s="129">
        <f>SUM(B30:B54)</f>
        <v>1197397.58</v>
      </c>
      <c r="C55" s="132">
        <f>SUM(C30:C54)</f>
        <v>1268750.1599999997</v>
      </c>
      <c r="D55" s="131">
        <f>C55/B55-1</f>
        <v>5.9589714554124651E-2</v>
      </c>
      <c r="E55" s="129"/>
    </row>
    <row r="59" spans="1:6">
      <c r="A59" s="134" t="str">
        <f>基金成本!A1</f>
        <v>名称</v>
      </c>
      <c r="B59" s="134" t="str">
        <f>基金成本!B1</f>
        <v>代码</v>
      </c>
      <c r="C59" s="134" t="s">
        <v>7598</v>
      </c>
      <c r="D59" s="134" t="s">
        <v>7400</v>
      </c>
    </row>
    <row r="60" spans="1:6">
      <c r="A60" s="134" t="str">
        <f>基金成本!A2</f>
        <v>50ETF</v>
      </c>
      <c r="B60" s="134">
        <f>基金成本!B2</f>
        <v>510050</v>
      </c>
      <c r="C60" s="61">
        <f>F2</f>
        <v>7497.9</v>
      </c>
      <c r="D60" s="60">
        <f>C60/$C$88</f>
        <v>8.6489648747794193E-3</v>
      </c>
    </row>
    <row r="61" spans="1:6">
      <c r="A61" s="134" t="str">
        <f>基金成本!A3</f>
        <v>300ETF</v>
      </c>
      <c r="B61" s="134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>
      <c r="A62" s="134" t="str">
        <f>基金成本!A4</f>
        <v>富国300</v>
      </c>
      <c r="B62" s="134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>
      <c r="A63" s="134" t="str">
        <f>基金成本!A5</f>
        <v>500ETF</v>
      </c>
      <c r="B63" s="134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>
      <c r="A64" s="134" t="str">
        <f>基金成本!A6</f>
        <v>富国500</v>
      </c>
      <c r="B64" s="134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>
      <c r="A65" s="134" t="str">
        <f>基金成本!A7</f>
        <v>1000ETF</v>
      </c>
      <c r="B65" s="134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>
      <c r="A66" s="134" t="str">
        <f>基金成本!A8</f>
        <v>创业板</v>
      </c>
      <c r="B66" s="134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>
      <c r="A67" s="134" t="str">
        <f>基金成本!A9</f>
        <v>易方达创业板</v>
      </c>
      <c r="B67" s="134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>
      <c r="A68" s="134" t="str">
        <f>基金成本!A10</f>
        <v>富国中证红利</v>
      </c>
      <c r="B68" s="134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>
      <c r="A69" s="134" t="str">
        <f>基金成本!A12</f>
        <v>广发养老</v>
      </c>
      <c r="B69" s="134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>
      <c r="A70" s="134" t="str">
        <f>基金成本!A13</f>
        <v>医药ETF</v>
      </c>
      <c r="B70" s="134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>
      <c r="A71" s="134" t="str">
        <f>基金成本!A14</f>
        <v>广发医药</v>
      </c>
      <c r="B71" s="134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>
      <c r="A72" s="134" t="str">
        <f>基金成本!A15</f>
        <v>传媒ETF</v>
      </c>
      <c r="B72" s="134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>
      <c r="A73" s="134" t="str">
        <f>基金成本!A16</f>
        <v>环保ETF</v>
      </c>
      <c r="B73" s="134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>
      <c r="A74" s="134" t="str">
        <f>基金成本!A17</f>
        <v>广发环保</v>
      </c>
      <c r="B74" s="134" t="str">
        <f>基金成本!B17</f>
        <v>001064</v>
      </c>
      <c r="C74" s="135">
        <f>G11+H11</f>
        <v>18756.510000000002</v>
      </c>
      <c r="D74" s="60">
        <f t="shared" si="9"/>
        <v>2.1635977562177271E-2</v>
      </c>
    </row>
    <row r="75" spans="1:4">
      <c r="A75" s="134" t="str">
        <f>基金成本!A18</f>
        <v>易方达消费</v>
      </c>
      <c r="B75" s="134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>
      <c r="A76" s="134" t="str">
        <f>基金成本!A19</f>
        <v>广发金融地产</v>
      </c>
      <c r="B76" s="134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>
      <c r="A77" s="134" t="str">
        <f>基金成本!A20</f>
        <v>证券ETF</v>
      </c>
      <c r="B77" s="134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>
      <c r="A78" s="134" t="str">
        <f>基金成本!A21</f>
        <v>华夏恒生ETF</v>
      </c>
      <c r="B78" s="134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>
      <c r="A79" s="134" t="str">
        <f>基金成本!A22</f>
        <v>交银海外互联网</v>
      </c>
      <c r="B79" s="134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>
      <c r="A80" s="134" t="str">
        <f>基金成本!A23</f>
        <v>华安德国30</v>
      </c>
      <c r="B80" s="134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>
      <c r="A81" s="134" t="str">
        <f>基金成本!A24</f>
        <v>华宝油气</v>
      </c>
      <c r="B81" s="134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>
      <c r="A82" s="134" t="str">
        <f>基金成本!A25</f>
        <v>黄金ETF</v>
      </c>
      <c r="B82" s="134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>
      <c r="A83" s="134" t="str">
        <f>基金成本!A26</f>
        <v>兴全可转债</v>
      </c>
      <c r="B83" s="134">
        <f>基金成本!B26</f>
        <v>340001</v>
      </c>
      <c r="C83" s="134">
        <f>36204.24</f>
        <v>36204.239999999998</v>
      </c>
      <c r="D83" s="60">
        <f t="shared" si="9"/>
        <v>4.176225344137479E-2</v>
      </c>
    </row>
    <row r="84" spans="1:4">
      <c r="A84" s="134" t="str">
        <f>基金成本!A27</f>
        <v>易方达安心债</v>
      </c>
      <c r="B84" s="134">
        <f>基金成本!B27</f>
        <v>110027</v>
      </c>
      <c r="C84" s="134">
        <v>6909.26</v>
      </c>
      <c r="D84" s="60">
        <f t="shared" si="9"/>
        <v>7.9699578616303831E-3</v>
      </c>
    </row>
    <row r="85" spans="1:4">
      <c r="A85" s="134" t="str">
        <f>基金成本!A28</f>
        <v>长信可转债</v>
      </c>
      <c r="B85" s="134">
        <f>基金成本!B28</f>
        <v>519977</v>
      </c>
      <c r="C85" s="134">
        <v>7373.21</v>
      </c>
      <c r="D85" s="60">
        <f t="shared" si="9"/>
        <v>8.505132677732747E-3</v>
      </c>
    </row>
    <row r="86" spans="1:4">
      <c r="A86" s="134" t="str">
        <f>基金成本!A29</f>
        <v>华夏海外债</v>
      </c>
      <c r="B86" s="134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>
      <c r="A87" s="134" t="s">
        <v>7538</v>
      </c>
      <c r="B87" s="134" t="s">
        <v>7599</v>
      </c>
      <c r="C87" s="134">
        <v>102882.82</v>
      </c>
      <c r="D87" s="60">
        <f t="shared" si="9"/>
        <v>0.11867721580685973</v>
      </c>
    </row>
    <row r="88" spans="1:4">
      <c r="C88" s="61">
        <f>SUM(C60:C87)</f>
        <v>866912.98999999976</v>
      </c>
      <c r="D88" s="136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37" sqref="C37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33" t="s">
        <v>85</v>
      </c>
      <c r="B1" s="133" t="s">
        <v>87</v>
      </c>
      <c r="C1" s="133" t="s">
        <v>7562</v>
      </c>
      <c r="D1" s="133" t="s">
        <v>7563</v>
      </c>
      <c r="E1" s="133" t="s">
        <v>7564</v>
      </c>
      <c r="F1" s="133" t="s">
        <v>7565</v>
      </c>
    </row>
    <row r="2" spans="1:6">
      <c r="A2" s="133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33" t="s">
        <v>39</v>
      </c>
      <c r="B3" s="80" t="s">
        <v>7566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33" t="s">
        <v>7568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33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33" t="s">
        <v>7569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33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33" t="s">
        <v>214</v>
      </c>
      <c r="B8" s="80" t="s">
        <v>7567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33" t="s">
        <v>7570</v>
      </c>
      <c r="B9" s="80" t="s">
        <v>7377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33" t="s">
        <v>7571</v>
      </c>
      <c r="B10" s="80" t="s">
        <v>7572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33" t="s">
        <v>7596</v>
      </c>
      <c r="B11" s="80" t="s">
        <v>7597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33" t="s">
        <v>7573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33" t="s">
        <v>7575</v>
      </c>
      <c r="B13" s="80" t="s">
        <v>7576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33" t="s">
        <v>7574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33" t="s">
        <v>56</v>
      </c>
      <c r="B15" s="80" t="s">
        <v>7577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33" t="s">
        <v>7578</v>
      </c>
      <c r="B16" s="80" t="s">
        <v>7579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33" t="s">
        <v>7580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33" t="s">
        <v>7582</v>
      </c>
      <c r="B18" s="80" t="s">
        <v>7581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33" t="s">
        <v>7584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33" t="s">
        <v>55</v>
      </c>
      <c r="B20" s="80" t="s">
        <v>7583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33" t="s">
        <v>7585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33" t="s">
        <v>7587</v>
      </c>
      <c r="B22" s="80" t="s">
        <v>7588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33" t="s">
        <v>7586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33" t="s">
        <v>7589</v>
      </c>
      <c r="B24" s="80" t="s">
        <v>7390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33" t="s">
        <v>7590</v>
      </c>
      <c r="B25" s="80" t="s">
        <v>7593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33" t="s">
        <v>7591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33" t="s">
        <v>7594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33" t="s">
        <v>7592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33" t="s">
        <v>7595</v>
      </c>
      <c r="B29" s="80" t="s">
        <v>7393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E23" sqref="E23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0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0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0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0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100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100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46"/>
      <c r="B9" s="91" t="s">
        <v>7376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47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5">
        <f t="shared" si="0"/>
        <v>0.73133024691358106</v>
      </c>
      <c r="M10" s="3"/>
    </row>
    <row r="11" spans="1:18">
      <c r="A11" s="100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100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46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5">
        <f t="shared" si="0"/>
        <v>-0.70987654320987548</v>
      </c>
      <c r="N13" s="4"/>
      <c r="O13" s="4"/>
      <c r="P13" s="4"/>
      <c r="Q13" s="13"/>
      <c r="R13" s="4"/>
    </row>
    <row r="14" spans="1:18">
      <c r="A14" s="147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100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100"/>
      <c r="B16" s="2" t="s">
        <v>7399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100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100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100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0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0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0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0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100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100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>
      <c r="A27" s="100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7400</v>
      </c>
      <c r="H27" t="s">
        <v>100</v>
      </c>
      <c r="I27" t="s">
        <v>102</v>
      </c>
      <c r="J27" t="s">
        <v>207</v>
      </c>
    </row>
    <row r="28" spans="1:28">
      <c r="A28" s="100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>
      <c r="A29" s="100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>
      <c r="A30" s="100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>
      <c r="A31" s="100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>
      <c r="A32" s="100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>
      <c r="A33" s="100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>
      <c r="A34" s="100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>
      <c r="A35" s="100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>
      <c r="A36" s="100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>
      <c r="F39" t="s">
        <v>7376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>
      <c r="F40" t="s">
        <v>7383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10.693692761421845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7.5753781512605034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31.802979890310787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26.142332780001954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30.927490359897174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7.460073356038774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49.87304251794589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0.97130965593784679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7" t="s">
        <v>40</v>
      </c>
      <c r="C66" s="36" t="s">
        <v>7377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7378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47"/>
  <sheetViews>
    <sheetView workbookViewId="0">
      <selection activeCell="O26" sqref="O26:O38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 ht="15">
      <c r="A2" s="84"/>
      <c r="B2" s="84" t="str">
        <f>指数行业占比!K1</f>
        <v>能源</v>
      </c>
      <c r="C2" s="84" t="str">
        <f>指数行业占比!L1</f>
        <v>原材料</v>
      </c>
      <c r="D2" s="84" t="str">
        <f>指数行业占比!M1</f>
        <v>工业</v>
      </c>
      <c r="E2" s="84" t="str">
        <f>指数行业占比!N1</f>
        <v>可选消费</v>
      </c>
      <c r="F2" s="84" t="str">
        <f>指数行业占比!O1</f>
        <v>主要消费</v>
      </c>
      <c r="G2" s="84" t="str">
        <f>指数行业占比!P1</f>
        <v>医药卫生</v>
      </c>
      <c r="H2" s="84" t="str">
        <f>指数行业占比!Q1</f>
        <v>金融地产</v>
      </c>
      <c r="I2" s="84" t="str">
        <f>指数行业占比!R1</f>
        <v>信息技术</v>
      </c>
      <c r="J2" s="84" t="str">
        <f>指数行业占比!S1</f>
        <v>电信业务</v>
      </c>
      <c r="K2" s="84" t="str">
        <f>指数行业占比!T1</f>
        <v>公用事业</v>
      </c>
    </row>
    <row r="3" spans="1:12" ht="15">
      <c r="A3" s="84" t="str">
        <f>指数行业占比!J2</f>
        <v>中证红利</v>
      </c>
      <c r="B3" s="18">
        <f>指数行业占比!K2</f>
        <v>4.82E-2</v>
      </c>
      <c r="C3" s="18">
        <f>指数行业占比!L2</f>
        <v>0.1021</v>
      </c>
      <c r="D3" s="18">
        <f>指数行业占比!M2</f>
        <v>0.19900000000000001</v>
      </c>
      <c r="E3" s="18">
        <f>指数行业占比!N2</f>
        <v>0.1852</v>
      </c>
      <c r="F3" s="18">
        <f>指数行业占比!O2</f>
        <v>6.5600000000000006E-2</v>
      </c>
      <c r="G3" s="18">
        <f>指数行业占比!P2</f>
        <v>3.0599999999999999E-2</v>
      </c>
      <c r="H3" s="18">
        <f>指数行业占比!Q2</f>
        <v>0.26369999999999999</v>
      </c>
      <c r="I3" s="18">
        <f>指数行业占比!R2</f>
        <v>2.9399999999999999E-2</v>
      </c>
      <c r="J3" s="18">
        <f>指数行业占比!S2</f>
        <v>0</v>
      </c>
      <c r="K3" s="18">
        <f>指数行业占比!T2</f>
        <v>7.6300000000000007E-2</v>
      </c>
    </row>
    <row r="4" spans="1:12" ht="15">
      <c r="A4" s="85" t="str">
        <f>指数行业占比!J3</f>
        <v>上证指数</v>
      </c>
      <c r="B4" s="18">
        <f>指数行业占比!K3</f>
        <v>9.2799999999999994E-2</v>
      </c>
      <c r="C4" s="18">
        <f>指数行业占比!L3</f>
        <v>8.14E-2</v>
      </c>
      <c r="D4" s="18">
        <f>指数行业占比!M3</f>
        <v>0.16070000000000001</v>
      </c>
      <c r="E4" s="18">
        <f>指数行业占比!N3</f>
        <v>8.6499999999999994E-2</v>
      </c>
      <c r="F4" s="18">
        <f>指数行业占比!O3</f>
        <v>7.2999999999999995E-2</v>
      </c>
      <c r="G4" s="18">
        <f>指数行业占比!P3</f>
        <v>4.1500000000000002E-2</v>
      </c>
      <c r="H4" s="18">
        <f>指数行业占比!Q3</f>
        <v>0.35630000000000001</v>
      </c>
      <c r="I4" s="18">
        <f>指数行业占比!R3</f>
        <v>5.4100000000000002E-2</v>
      </c>
      <c r="J4" s="18">
        <f>指数行业占比!S3</f>
        <v>6.3E-3</v>
      </c>
      <c r="K4" s="18">
        <f>指数行业占比!T3</f>
        <v>4.7399999999999998E-2</v>
      </c>
    </row>
    <row r="5" spans="1:12" ht="15">
      <c r="A5" s="84" t="str">
        <f>指数行业占比!J4</f>
        <v>上证50</v>
      </c>
      <c r="B5" s="18">
        <f>指数行业占比!K4</f>
        <v>3.6400000000000002E-2</v>
      </c>
      <c r="C5" s="18">
        <f>指数行业占比!L4</f>
        <v>4.9099999999999998E-2</v>
      </c>
      <c r="D5" s="18">
        <f>指数行业占比!M4</f>
        <v>0.1038</v>
      </c>
      <c r="E5" s="18">
        <f>指数行业占比!N4</f>
        <v>4.7199999999999999E-2</v>
      </c>
      <c r="F5" s="18">
        <f>指数行业占比!O4</f>
        <v>0.1013</v>
      </c>
      <c r="G5" s="18">
        <f>指数行业占比!P4</f>
        <v>3.44E-2</v>
      </c>
      <c r="H5" s="18">
        <f>指数行业占比!Q4</f>
        <v>0.60509999999999997</v>
      </c>
      <c r="I5" s="18">
        <f>指数行业占比!R4</f>
        <v>1.15E-2</v>
      </c>
      <c r="J5" s="18">
        <f>指数行业占比!S4</f>
        <v>1.12E-2</v>
      </c>
      <c r="K5" s="18">
        <f>指数行业占比!T4</f>
        <v>0</v>
      </c>
    </row>
    <row r="6" spans="1:12" ht="15">
      <c r="A6" s="84" t="str">
        <f>指数行业占比!J5</f>
        <v>沪深300</v>
      </c>
      <c r="B6" s="18">
        <f>指数行业占比!K5</f>
        <v>2.69E-2</v>
      </c>
      <c r="C6" s="18">
        <f>指数行业占比!L5</f>
        <v>7.0300000000000001E-2</v>
      </c>
      <c r="D6" s="18">
        <f>指数行业占比!M5</f>
        <v>0.1308</v>
      </c>
      <c r="E6" s="18">
        <f>指数行业占比!N5</f>
        <v>0.1053</v>
      </c>
      <c r="F6" s="18">
        <f>指数行业占比!O5</f>
        <v>9.1200000000000003E-2</v>
      </c>
      <c r="G6" s="18">
        <f>指数行业占比!P5</f>
        <v>6.1199999999999997E-2</v>
      </c>
      <c r="H6" s="18">
        <f>指数行业占比!Q5</f>
        <v>0.39539999999999997</v>
      </c>
      <c r="I6" s="18">
        <f>指数行业占比!R5</f>
        <v>8.3000000000000004E-2</v>
      </c>
      <c r="J6" s="18">
        <f>指数行业占比!S5</f>
        <v>5.1000000000000004E-3</v>
      </c>
      <c r="K6" s="18">
        <f>指数行业占比!T5</f>
        <v>3.0700000000000002E-2</v>
      </c>
    </row>
    <row r="7" spans="1:12" ht="15">
      <c r="A7" s="84" t="str">
        <f>指数行业占比!J6</f>
        <v>中证500</v>
      </c>
      <c r="B7" s="18">
        <f>指数行业占比!K6</f>
        <v>2.2200000000000001E-2</v>
      </c>
      <c r="C7" s="18">
        <f>指数行业占比!L6</f>
        <v>0.1716</v>
      </c>
      <c r="D7" s="18">
        <f>指数行业占比!M6</f>
        <v>0.2006</v>
      </c>
      <c r="E7" s="18">
        <f>指数行业占比!N6</f>
        <v>0.13100000000000001</v>
      </c>
      <c r="F7" s="18">
        <f>指数行业占比!O6</f>
        <v>8.3000000000000004E-2</v>
      </c>
      <c r="G7" s="18">
        <f>指数行业占比!P6</f>
        <v>8.5999999999999993E-2</v>
      </c>
      <c r="H7" s="18">
        <f>指数行业占比!Q6</f>
        <v>9.5500000000000002E-2</v>
      </c>
      <c r="I7" s="18">
        <f>指数行业占比!R6</f>
        <v>0.17219999999999999</v>
      </c>
      <c r="J7" s="18">
        <f>指数行业占比!S6</f>
        <v>3.3999999999999998E-3</v>
      </c>
      <c r="K7" s="18">
        <f>指数行业占比!T6</f>
        <v>3.2000000000000001E-2</v>
      </c>
    </row>
    <row r="8" spans="1:12" ht="15">
      <c r="A8" s="84" t="str">
        <f>指数行业占比!J7</f>
        <v>中证1000</v>
      </c>
      <c r="B8" s="18">
        <f>指数行业占比!K7</f>
        <v>2.41E-2</v>
      </c>
      <c r="C8" s="18">
        <f>指数行业占比!L7</f>
        <v>0.16450000000000001</v>
      </c>
      <c r="D8" s="18">
        <f>指数行业占比!M7</f>
        <v>0.2233</v>
      </c>
      <c r="E8" s="18">
        <f>指数行业占比!N7</f>
        <v>0.13270000000000001</v>
      </c>
      <c r="F8" s="18">
        <f>指数行业占比!O7</f>
        <v>6.5699999999999995E-2</v>
      </c>
      <c r="G8" s="18">
        <f>指数行业占比!P7</f>
        <v>9.8000000000000004E-2</v>
      </c>
      <c r="H8" s="18">
        <f>指数行业占比!Q7</f>
        <v>4.2900000000000001E-2</v>
      </c>
      <c r="I8" s="18">
        <f>指数行业占比!R7</f>
        <v>0.22270000000000001</v>
      </c>
      <c r="J8" s="18">
        <f>指数行业占比!S7</f>
        <v>1.1000000000000001E-3</v>
      </c>
      <c r="K8" s="18">
        <f>指数行业占比!T7</f>
        <v>2.52E-2</v>
      </c>
    </row>
    <row r="9" spans="1:12" ht="15">
      <c r="A9" s="84" t="str">
        <f>指数行业占比!J8</f>
        <v>金融地产</v>
      </c>
      <c r="B9" s="18">
        <f>指数行业占比!K8</f>
        <v>0</v>
      </c>
      <c r="C9" s="18">
        <f>指数行业占比!L8</f>
        <v>0</v>
      </c>
      <c r="D9" s="18">
        <f>指数行业占比!M8</f>
        <v>0</v>
      </c>
      <c r="E9" s="18">
        <f>指数行业占比!N8</f>
        <v>7.7000000000000002E-3</v>
      </c>
      <c r="F9" s="18">
        <f>指数行业占比!O8</f>
        <v>0</v>
      </c>
      <c r="G9" s="18">
        <f>指数行业占比!P8</f>
        <v>6.9999999999999999E-4</v>
      </c>
      <c r="H9" s="18">
        <f>指数行业占比!Q8</f>
        <v>0.99070000000000003</v>
      </c>
      <c r="I9" s="18">
        <f>指数行业占比!R8</f>
        <v>8.0000000000000004E-4</v>
      </c>
      <c r="J9" s="18">
        <f>指数行业占比!S8</f>
        <v>0</v>
      </c>
      <c r="K9" s="18">
        <f>指数行业占比!T8</f>
        <v>0</v>
      </c>
    </row>
    <row r="10" spans="1:12" ht="15">
      <c r="A10" s="84" t="str">
        <f>指数行业占比!J9</f>
        <v>证券公司</v>
      </c>
      <c r="B10" s="18">
        <f>指数行业占比!K9</f>
        <v>0</v>
      </c>
      <c r="C10" s="18">
        <f>指数行业占比!L9</f>
        <v>0</v>
      </c>
      <c r="D10" s="18">
        <f>指数行业占比!M9</f>
        <v>0</v>
      </c>
      <c r="E10" s="18">
        <f>指数行业占比!N9</f>
        <v>0</v>
      </c>
      <c r="F10" s="18">
        <f>指数行业占比!O9</f>
        <v>0</v>
      </c>
      <c r="G10" s="18">
        <f>指数行业占比!P9</f>
        <v>0</v>
      </c>
      <c r="H10" s="18">
        <f>指数行业占比!Q9</f>
        <v>1</v>
      </c>
      <c r="I10" s="18">
        <f>指数行业占比!R9</f>
        <v>0</v>
      </c>
      <c r="J10" s="18">
        <f>指数行业占比!S9</f>
        <v>0</v>
      </c>
      <c r="K10" s="18">
        <f>指数行业占比!T9</f>
        <v>0</v>
      </c>
    </row>
    <row r="11" spans="1:12" ht="15">
      <c r="A11" s="84" t="str">
        <f>指数行业占比!J10</f>
        <v>中证传媒</v>
      </c>
      <c r="B11" s="18">
        <f>指数行业占比!K10</f>
        <v>0</v>
      </c>
      <c r="C11" s="18">
        <f>指数行业占比!L10</f>
        <v>0</v>
      </c>
      <c r="D11" s="18">
        <f>指数行业占比!M10</f>
        <v>0</v>
      </c>
      <c r="E11" s="18">
        <f>指数行业占比!N10</f>
        <v>0.48649999999999999</v>
      </c>
      <c r="F11" s="18">
        <f>指数行业占比!O10</f>
        <v>0</v>
      </c>
      <c r="G11" s="18">
        <f>指数行业占比!P10</f>
        <v>0</v>
      </c>
      <c r="H11" s="18">
        <f>指数行业占比!Q10</f>
        <v>9.9299999999999999E-2</v>
      </c>
      <c r="I11" s="18">
        <f>指数行业占比!R10</f>
        <v>0.41420000000000001</v>
      </c>
      <c r="J11" s="18">
        <f>指数行业占比!S10</f>
        <v>0</v>
      </c>
      <c r="K11" s="18">
        <f>指数行业占比!T10</f>
        <v>0</v>
      </c>
    </row>
    <row r="12" spans="1:12" ht="15">
      <c r="A12" s="84" t="str">
        <f>指数行业占比!J11</f>
        <v>全指医药</v>
      </c>
      <c r="B12" s="18">
        <f>指数行业占比!K11</f>
        <v>0</v>
      </c>
      <c r="C12" s="18">
        <f>指数行业占比!L11</f>
        <v>1.2999999999999999E-3</v>
      </c>
      <c r="D12" s="18">
        <f>指数行业占比!M11</f>
        <v>1E-3</v>
      </c>
      <c r="E12" s="18">
        <f>指数行业占比!N11</f>
        <v>5.5999999999999999E-3</v>
      </c>
      <c r="F12" s="18">
        <f>指数行业占比!O11</f>
        <v>8.0699999999999994E-2</v>
      </c>
      <c r="G12" s="18">
        <f>指数行业占比!P11</f>
        <v>0.89590000000000003</v>
      </c>
      <c r="H12" s="18">
        <f>指数行业占比!Q11</f>
        <v>0</v>
      </c>
      <c r="I12" s="18">
        <f>指数行业占比!R11</f>
        <v>1.54E-2</v>
      </c>
      <c r="J12" s="18">
        <f>指数行业占比!S11</f>
        <v>0</v>
      </c>
      <c r="K12" s="18">
        <f>指数行业占比!T11</f>
        <v>0</v>
      </c>
    </row>
    <row r="13" spans="1:12" ht="15">
      <c r="A13" s="84" t="str">
        <f>指数行业占比!J12</f>
        <v>养老产业</v>
      </c>
      <c r="B13" s="18">
        <f>指数行业占比!K12</f>
        <v>0</v>
      </c>
      <c r="C13" s="18">
        <f>指数行业占比!L12</f>
        <v>0</v>
      </c>
      <c r="D13" s="18">
        <f>指数行业占比!M12</f>
        <v>0</v>
      </c>
      <c r="E13" s="18">
        <f>指数行业占比!N12</f>
        <v>0.2949</v>
      </c>
      <c r="F13" s="18">
        <f>指数行业占比!O12</f>
        <v>0.14000000000000001</v>
      </c>
      <c r="G13" s="18">
        <f>指数行业占比!P12</f>
        <v>0.3276</v>
      </c>
      <c r="H13" s="18">
        <f>指数行业占比!Q12</f>
        <v>0.104</v>
      </c>
      <c r="I13" s="18">
        <f>指数行业占比!R12</f>
        <v>0.1336</v>
      </c>
      <c r="J13" s="18">
        <f>指数行业占比!S12</f>
        <v>0</v>
      </c>
      <c r="K13" s="18">
        <f>指数行业占比!T12</f>
        <v>0</v>
      </c>
    </row>
    <row r="14" spans="1:12" ht="15">
      <c r="A14" s="84" t="str">
        <f>指数行业占比!J13</f>
        <v>中证环保</v>
      </c>
      <c r="B14" s="18">
        <f>指数行业占比!K13</f>
        <v>0</v>
      </c>
      <c r="C14" s="18">
        <f>指数行业占比!L13</f>
        <v>8.7800000000000003E-2</v>
      </c>
      <c r="D14" s="18">
        <f>指数行业占比!M13</f>
        <v>0.49399999999999999</v>
      </c>
      <c r="E14" s="18">
        <f>指数行业占比!N13</f>
        <v>5.1499999999999997E-2</v>
      </c>
      <c r="F14" s="18">
        <f>指数行业占比!O13</f>
        <v>0</v>
      </c>
      <c r="G14" s="18">
        <f>指数行业占比!P13</f>
        <v>0</v>
      </c>
      <c r="H14" s="18">
        <f>指数行业占比!Q13</f>
        <v>0</v>
      </c>
      <c r="I14" s="18">
        <f>指数行业占比!R13</f>
        <v>0.1993</v>
      </c>
      <c r="J14" s="18">
        <f>指数行业占比!S13</f>
        <v>0</v>
      </c>
      <c r="K14" s="18">
        <f>指数行业占比!T13</f>
        <v>0.1673</v>
      </c>
    </row>
    <row r="15" spans="1:12" ht="15">
      <c r="A15" s="84" t="str">
        <f>指数行业占比!J14</f>
        <v>创业板指</v>
      </c>
      <c r="B15" s="18">
        <f>指数行业占比!K14</f>
        <v>0</v>
      </c>
      <c r="C15" s="18">
        <f>指数行业占比!L14</f>
        <v>3.56E-2</v>
      </c>
      <c r="D15" s="18">
        <f>指数行业占比!M14</f>
        <v>0.19650000000000001</v>
      </c>
      <c r="E15" s="18">
        <f>指数行业占比!N14</f>
        <v>6.7000000000000004E-2</v>
      </c>
      <c r="F15" s="18">
        <f>指数行业占比!O14</f>
        <v>0.13420000000000001</v>
      </c>
      <c r="G15" s="18">
        <f>指数行业占比!P14</f>
        <v>0.16880000000000001</v>
      </c>
      <c r="H15" s="18">
        <f>指数行业占比!Q14</f>
        <v>5.5300000000000002E-2</v>
      </c>
      <c r="I15" s="18">
        <f>指数行业占比!R14</f>
        <v>0.34260000000000002</v>
      </c>
      <c r="J15" s="18">
        <f>指数行业占比!S14</f>
        <v>0</v>
      </c>
      <c r="K15" s="18">
        <f>指数行业占比!T14</f>
        <v>0</v>
      </c>
    </row>
    <row r="16" spans="1:12" ht="15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4" customFormat="1">
      <c r="A17" s="84" t="s">
        <v>7355</v>
      </c>
      <c r="B17" s="84" t="s">
        <v>7356</v>
      </c>
      <c r="C17" s="84" t="s">
        <v>7356</v>
      </c>
      <c r="D17" s="84" t="s">
        <v>7356</v>
      </c>
      <c r="E17" s="84" t="s">
        <v>7357</v>
      </c>
      <c r="F17" s="84" t="s">
        <v>7357</v>
      </c>
      <c r="G17" s="84" t="s">
        <v>7357</v>
      </c>
      <c r="H17" s="84" t="s">
        <v>225</v>
      </c>
      <c r="I17" s="84" t="s">
        <v>225</v>
      </c>
      <c r="J17" s="84" t="s">
        <v>225</v>
      </c>
      <c r="K17" s="84" t="s">
        <v>226</v>
      </c>
      <c r="L17" s="84" t="s">
        <v>226</v>
      </c>
      <c r="M17" s="84" t="s">
        <v>226</v>
      </c>
      <c r="N17" s="84" t="s">
        <v>3819</v>
      </c>
      <c r="O17" s="84" t="s">
        <v>3819</v>
      </c>
      <c r="P17" s="84" t="s">
        <v>3819</v>
      </c>
      <c r="Q17" s="84" t="s">
        <v>228</v>
      </c>
      <c r="R17" s="84" t="s">
        <v>228</v>
      </c>
      <c r="S17" s="84" t="s">
        <v>228</v>
      </c>
      <c r="T17" s="84" t="s">
        <v>7358</v>
      </c>
      <c r="U17" s="84" t="s">
        <v>7358</v>
      </c>
      <c r="V17" s="84" t="s">
        <v>7358</v>
      </c>
      <c r="W17" s="84" t="s">
        <v>229</v>
      </c>
      <c r="X17" s="84" t="s">
        <v>229</v>
      </c>
      <c r="Y17" s="84" t="s">
        <v>229</v>
      </c>
      <c r="Z17" s="84" t="s">
        <v>230</v>
      </c>
      <c r="AA17" s="84" t="s">
        <v>230</v>
      </c>
      <c r="AB17" s="84" t="s">
        <v>230</v>
      </c>
    </row>
    <row r="18" spans="1:28" ht="15">
      <c r="A18" s="3">
        <v>38544</v>
      </c>
      <c r="B18" s="84">
        <v>35</v>
      </c>
      <c r="C18" s="84">
        <v>11.93</v>
      </c>
      <c r="D18" s="84">
        <v>1.4</v>
      </c>
      <c r="E18" s="84">
        <v>271</v>
      </c>
      <c r="F18" s="84">
        <v>14.65</v>
      </c>
      <c r="G18" s="84">
        <v>1.2</v>
      </c>
      <c r="H18" s="84">
        <v>308</v>
      </c>
      <c r="I18" s="84">
        <v>21.23</v>
      </c>
      <c r="J18" s="84">
        <v>1.42</v>
      </c>
      <c r="K18" s="84">
        <v>262</v>
      </c>
      <c r="L18" s="84">
        <v>22.67</v>
      </c>
      <c r="M18" s="84">
        <v>1.34</v>
      </c>
      <c r="N18" s="84">
        <v>118</v>
      </c>
      <c r="O18" s="84">
        <v>26.35</v>
      </c>
      <c r="P18" s="84">
        <v>1.36</v>
      </c>
      <c r="Q18" s="84">
        <v>107</v>
      </c>
      <c r="R18" s="84">
        <v>24.93</v>
      </c>
      <c r="S18" s="84">
        <v>1.49</v>
      </c>
      <c r="T18" s="84">
        <v>100</v>
      </c>
      <c r="U18" s="84">
        <v>18.829999999999998</v>
      </c>
      <c r="V18" s="84">
        <v>1.38</v>
      </c>
      <c r="W18" s="84">
        <v>122</v>
      </c>
      <c r="X18" s="84">
        <v>25.95</v>
      </c>
      <c r="Y18" s="84">
        <v>1.47</v>
      </c>
      <c r="Z18" s="84">
        <v>63</v>
      </c>
      <c r="AA18" s="84">
        <v>19.89</v>
      </c>
      <c r="AB18" s="84">
        <v>1.33</v>
      </c>
    </row>
    <row r="19" spans="1:28" ht="15">
      <c r="A19" s="3">
        <v>39748</v>
      </c>
      <c r="B19" s="84">
        <v>42</v>
      </c>
      <c r="C19" s="84">
        <v>10.64</v>
      </c>
      <c r="D19" s="84">
        <v>1.92</v>
      </c>
      <c r="E19" s="84">
        <v>320</v>
      </c>
      <c r="F19" s="84">
        <v>9.81</v>
      </c>
      <c r="G19" s="84">
        <v>1.34</v>
      </c>
      <c r="H19" s="84">
        <v>388</v>
      </c>
      <c r="I19" s="84">
        <v>15.36</v>
      </c>
      <c r="J19" s="84">
        <v>1.65</v>
      </c>
      <c r="K19" s="84">
        <v>278</v>
      </c>
      <c r="L19" s="84">
        <v>12.86</v>
      </c>
      <c r="M19" s="84">
        <v>1.54</v>
      </c>
      <c r="N19" s="84">
        <v>117</v>
      </c>
      <c r="O19" s="84">
        <v>23.61</v>
      </c>
      <c r="P19" s="84">
        <v>1.95</v>
      </c>
      <c r="Q19" s="84">
        <v>118</v>
      </c>
      <c r="R19" s="84">
        <v>19.39</v>
      </c>
      <c r="S19" s="84">
        <v>2.09</v>
      </c>
      <c r="T19" s="84">
        <v>142</v>
      </c>
      <c r="U19" s="84">
        <v>13.4</v>
      </c>
      <c r="V19" s="84">
        <v>1.68</v>
      </c>
      <c r="W19" s="84">
        <v>155</v>
      </c>
      <c r="X19" s="84">
        <v>12.48</v>
      </c>
      <c r="Y19" s="84">
        <v>1.56</v>
      </c>
      <c r="Z19" s="84">
        <v>67</v>
      </c>
      <c r="AA19" s="84">
        <v>20.48</v>
      </c>
      <c r="AB19" s="84">
        <v>1.36</v>
      </c>
    </row>
    <row r="20" spans="1:28" ht="15">
      <c r="A20" s="3">
        <v>41240</v>
      </c>
      <c r="B20" s="84">
        <v>65</v>
      </c>
      <c r="C20" s="84">
        <v>20.45</v>
      </c>
      <c r="D20" s="84">
        <v>2</v>
      </c>
      <c r="E20" s="84">
        <v>454</v>
      </c>
      <c r="F20" s="84">
        <v>23.49</v>
      </c>
      <c r="G20" s="84">
        <v>1.76</v>
      </c>
      <c r="H20" s="84">
        <v>637</v>
      </c>
      <c r="I20" s="84">
        <v>22.35</v>
      </c>
      <c r="J20" s="84">
        <v>1.78</v>
      </c>
      <c r="K20" s="84">
        <v>407</v>
      </c>
      <c r="L20" s="84">
        <v>21.28</v>
      </c>
      <c r="M20" s="84">
        <v>1.87</v>
      </c>
      <c r="N20" s="84">
        <v>166</v>
      </c>
      <c r="O20" s="84">
        <v>26.39</v>
      </c>
      <c r="P20" s="84">
        <v>2.4700000000000002</v>
      </c>
      <c r="Q20" s="84">
        <v>181</v>
      </c>
      <c r="R20" s="84">
        <v>30.04</v>
      </c>
      <c r="S20" s="84">
        <v>2.78</v>
      </c>
      <c r="T20" s="84">
        <v>198</v>
      </c>
      <c r="U20" s="84">
        <v>15.54</v>
      </c>
      <c r="V20" s="84">
        <v>1.86</v>
      </c>
      <c r="W20" s="84">
        <v>334</v>
      </c>
      <c r="X20" s="84">
        <v>28.21</v>
      </c>
      <c r="Y20" s="84">
        <v>2.12</v>
      </c>
      <c r="Z20" s="84">
        <v>74</v>
      </c>
      <c r="AA20" s="84">
        <v>21.37</v>
      </c>
      <c r="AB20" s="84">
        <v>1.76</v>
      </c>
    </row>
    <row r="21" spans="1:28" s="84" customFormat="1" ht="15">
      <c r="A21" s="14">
        <v>43495</v>
      </c>
      <c r="B21" s="86">
        <v>75</v>
      </c>
      <c r="C21" s="86">
        <v>14.24</v>
      </c>
      <c r="D21" s="86">
        <v>1.21</v>
      </c>
      <c r="E21" s="86">
        <v>565</v>
      </c>
      <c r="F21" s="86">
        <v>17.62</v>
      </c>
      <c r="G21" s="86">
        <v>1.72</v>
      </c>
      <c r="H21" s="86">
        <v>968</v>
      </c>
      <c r="I21" s="86">
        <v>22.45</v>
      </c>
      <c r="J21" s="86">
        <v>1.74</v>
      </c>
      <c r="K21" s="86">
        <v>598</v>
      </c>
      <c r="L21" s="86">
        <v>19.09</v>
      </c>
      <c r="M21" s="86">
        <v>1.59</v>
      </c>
      <c r="N21" s="86">
        <v>223</v>
      </c>
      <c r="O21" s="86">
        <v>25.48</v>
      </c>
      <c r="P21" s="86">
        <v>2</v>
      </c>
      <c r="Q21" s="86">
        <v>295</v>
      </c>
      <c r="R21" s="86">
        <v>22.84</v>
      </c>
      <c r="S21" s="86">
        <v>2.1</v>
      </c>
      <c r="T21" s="86">
        <v>235</v>
      </c>
      <c r="U21" s="86">
        <v>11.7</v>
      </c>
      <c r="V21" s="86">
        <v>1.18</v>
      </c>
      <c r="W21" s="86">
        <v>593</v>
      </c>
      <c r="X21" s="86">
        <v>30.14</v>
      </c>
      <c r="Y21" s="86">
        <v>2.2599999999999998</v>
      </c>
      <c r="Z21" s="86">
        <v>109</v>
      </c>
      <c r="AA21" s="86">
        <v>20.32</v>
      </c>
      <c r="AB21" s="86">
        <v>1.25</v>
      </c>
    </row>
    <row r="22" spans="1:28">
      <c r="A22" s="84" t="s">
        <v>7359</v>
      </c>
      <c r="B22" s="84"/>
      <c r="C22" s="60">
        <f>IF(C19/C21-1&gt;0,0,C19/C21-1)</f>
        <v>-0.2528089887640449</v>
      </c>
      <c r="D22" s="60">
        <f>IF(D19/D21-1&gt;0,0,D19/D21-1)</f>
        <v>0</v>
      </c>
      <c r="E22" s="84"/>
      <c r="F22" s="60">
        <f>IF(F19/F21-1&gt;0,0,F19/F21-1)</f>
        <v>-0.44324631101021572</v>
      </c>
      <c r="G22" s="60">
        <f>IF(G19/G21-1&gt;0,0,G19/G21-1)</f>
        <v>-0.22093023255813948</v>
      </c>
      <c r="H22" s="84"/>
      <c r="I22" s="60">
        <f t="shared" ref="I22:J22" si="0">IF(I19/I21-1&gt;0,0,I19/I21-1)</f>
        <v>-0.3158129175946548</v>
      </c>
      <c r="J22" s="60">
        <f t="shared" si="0"/>
        <v>-5.1724137931034475E-2</v>
      </c>
      <c r="K22" s="84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4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4"/>
      <c r="R22" s="60">
        <f t="shared" ref="R22:S22" si="3">IF(R19/R21-1&gt;0,0,R19/R21-1)</f>
        <v>-0.15105078809106831</v>
      </c>
      <c r="S22" s="60">
        <f t="shared" si="3"/>
        <v>-4.761904761904856E-3</v>
      </c>
      <c r="T22" s="84"/>
      <c r="U22" s="60">
        <f t="shared" ref="U22:V22" si="4">IF(U19/U21-1&gt;0,0,U19/U21-1)</f>
        <v>0</v>
      </c>
      <c r="V22" s="60">
        <f t="shared" si="4"/>
        <v>0</v>
      </c>
      <c r="W22" s="84"/>
      <c r="X22" s="60">
        <f t="shared" ref="X22:Y22" si="5">IF(X19/X21-1&gt;0,0,X19/X21-1)</f>
        <v>-0.58593231585932315</v>
      </c>
      <c r="Y22" s="60">
        <f t="shared" si="5"/>
        <v>-0.30973451327433621</v>
      </c>
      <c r="Z22" s="84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4" t="s">
        <v>7361</v>
      </c>
      <c r="B25" s="84" t="str">
        <f>指数行业占比!K1</f>
        <v>能源</v>
      </c>
      <c r="C25" s="84" t="str">
        <f>指数行业占比!L1</f>
        <v>原材料</v>
      </c>
      <c r="D25" s="84" t="str">
        <f>指数行业占比!M1</f>
        <v>工业</v>
      </c>
      <c r="E25" s="84" t="str">
        <f>指数行业占比!N1</f>
        <v>可选消费</v>
      </c>
      <c r="F25" s="84" t="str">
        <f>指数行业占比!O1</f>
        <v>主要消费</v>
      </c>
      <c r="G25" s="84" t="str">
        <f>指数行业占比!P1</f>
        <v>医药卫生</v>
      </c>
      <c r="H25" s="84" t="str">
        <f>指数行业占比!Q1</f>
        <v>金融地产</v>
      </c>
      <c r="I25" s="84" t="str">
        <f>指数行业占比!R1</f>
        <v>信息技术</v>
      </c>
      <c r="J25" s="84" t="str">
        <f>指数行业占比!S1</f>
        <v>电信业务</v>
      </c>
      <c r="K25" s="84" t="str">
        <f>指数行业占比!T1</f>
        <v>公用事业</v>
      </c>
      <c r="L25" t="s">
        <v>7360</v>
      </c>
      <c r="M25" s="84" t="s">
        <v>7362</v>
      </c>
      <c r="N25" s="84" t="s">
        <v>7363</v>
      </c>
      <c r="O25" s="84" t="s">
        <v>7364</v>
      </c>
      <c r="P25" s="84" t="s">
        <v>7365</v>
      </c>
    </row>
    <row r="26" spans="1:28" ht="12.75" customHeight="1">
      <c r="A26" s="84" t="str">
        <f>指数行业占比!J2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88">
        <v>4024.08</v>
      </c>
      <c r="N26" s="89">
        <f>M26*(1+L26)</f>
        <v>3825.0253072459254</v>
      </c>
      <c r="O26" s="83">
        <f>权益类资产估值!C3</f>
        <v>8.2900000000000001E-2</v>
      </c>
      <c r="P26" s="60">
        <f>O26*(1+L26)</f>
        <v>7.8799277840074566E-2</v>
      </c>
    </row>
    <row r="27" spans="1:28" ht="12.75" customHeight="1">
      <c r="A27" s="85" t="s">
        <v>7367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88">
        <v>2591.84</v>
      </c>
      <c r="N27" s="89">
        <f>M27*(1+L27)</f>
        <v>2467.9625616687326</v>
      </c>
      <c r="O27" s="87">
        <f>权益类资产估值!C4</f>
        <v>8.0543625000000004E-3</v>
      </c>
      <c r="P27" s="60">
        <f>O27*(1+L27)</f>
        <v>7.6694028597863208E-3</v>
      </c>
    </row>
    <row r="28" spans="1:28" ht="15">
      <c r="A28" s="84" t="str">
        <f>指数行业占比!J4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88">
        <v>2477.44</v>
      </c>
      <c r="N28" s="89">
        <f t="shared" ref="N28:N38" si="18">M28*(1+L28)</f>
        <v>2418.0825862152774</v>
      </c>
      <c r="O28" s="83">
        <f>权益类资产估值!C4</f>
        <v>8.0543625000000004E-3</v>
      </c>
      <c r="P28" s="60">
        <f t="shared" ref="P28:P38" si="19">O28*(1+L28)</f>
        <v>7.8613866347178318E-3</v>
      </c>
    </row>
    <row r="29" spans="1:28" ht="15">
      <c r="A29" s="84" t="str">
        <f>指数行业占比!J5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88">
        <v>3200.64</v>
      </c>
      <c r="N29" s="89">
        <f t="shared" si="18"/>
        <v>3027.8450430610055</v>
      </c>
      <c r="O29" s="83">
        <f>权益类资产估值!C5</f>
        <v>5.5856999999999997E-2</v>
      </c>
      <c r="P29" s="60">
        <f t="shared" si="19"/>
        <v>5.2841413145576693E-2</v>
      </c>
    </row>
    <row r="30" spans="1:28" ht="15">
      <c r="A30" s="84" t="str">
        <f>指数行业占比!J6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88">
        <v>4205.04</v>
      </c>
      <c r="N30" s="89">
        <f t="shared" si="18"/>
        <v>3739.4251978471725</v>
      </c>
      <c r="O30" s="83">
        <f>权益类资产估值!C6</f>
        <v>0.22490663750000001</v>
      </c>
      <c r="P30" s="60">
        <f t="shared" si="19"/>
        <v>0.20000322171265431</v>
      </c>
    </row>
    <row r="31" spans="1:28">
      <c r="A31" s="84" t="str">
        <f>指数行业占比!J7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88">
        <v>4407.9399999999996</v>
      </c>
      <c r="N31" s="89">
        <f t="shared" si="18"/>
        <v>3865.9704561898125</v>
      </c>
      <c r="O31" s="83">
        <f>权益类资产估值!C7</f>
        <v>4.9623162499999998E-2</v>
      </c>
      <c r="P31" s="60">
        <f t="shared" si="19"/>
        <v>4.3521844709253348E-2</v>
      </c>
    </row>
    <row r="32" spans="1:28">
      <c r="A32" s="84" t="str">
        <f>指数行业占比!J8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88">
        <v>5153.53</v>
      </c>
      <c r="N32" s="89">
        <f t="shared" si="18"/>
        <v>5150.472620354667</v>
      </c>
      <c r="O32" s="83">
        <f>权益类资产估值!C12</f>
        <v>1.6E-2</v>
      </c>
      <c r="P32" s="60">
        <f t="shared" si="19"/>
        <v>1.5990507851060279E-2</v>
      </c>
    </row>
    <row r="33" spans="1:17">
      <c r="A33" s="84" t="str">
        <f>指数行业占比!J9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88">
        <v>590.34</v>
      </c>
      <c r="N33" s="89">
        <f t="shared" si="18"/>
        <v>590.34</v>
      </c>
      <c r="O33" s="83">
        <f>权益类资产估值!C11</f>
        <v>3.1965149999999998E-2</v>
      </c>
      <c r="P33" s="60">
        <f t="shared" si="19"/>
        <v>3.1965149999999998E-2</v>
      </c>
    </row>
    <row r="34" spans="1:17">
      <c r="A34" s="84" t="str">
        <f>指数行业占比!J10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88">
        <v>1079.67</v>
      </c>
      <c r="N34" s="89">
        <f t="shared" si="18"/>
        <v>924.63934521706472</v>
      </c>
      <c r="O34" s="83">
        <f>权益类资产估值!C14</f>
        <v>3.70254125E-2</v>
      </c>
      <c r="P34" s="60">
        <f t="shared" si="19"/>
        <v>3.1708904730511842E-2</v>
      </c>
    </row>
    <row r="35" spans="1:17">
      <c r="A35" s="84" t="str">
        <f>指数行业占比!J11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88">
        <v>7253.6</v>
      </c>
      <c r="N35" s="89">
        <f t="shared" si="18"/>
        <v>7168.96038154915</v>
      </c>
      <c r="O35" s="83">
        <f>权益类资产估值!C10</f>
        <v>6.1076224999999998E-2</v>
      </c>
      <c r="P35" s="60">
        <f t="shared" si="19"/>
        <v>6.0363548759179125E-2</v>
      </c>
    </row>
    <row r="36" spans="1:17">
      <c r="A36" s="84" t="str">
        <f>指数行业占比!J12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88">
        <v>6037.29</v>
      </c>
      <c r="N36" s="89">
        <f t="shared" si="18"/>
        <v>5701.5314543441973</v>
      </c>
      <c r="O36" s="83">
        <f>权益类资产估值!C13</f>
        <v>7.2749999999999995E-2</v>
      </c>
      <c r="P36" s="60">
        <f t="shared" si="19"/>
        <v>6.8704073069794619E-2</v>
      </c>
    </row>
    <row r="37" spans="1:17">
      <c r="A37" s="84" t="str">
        <f>指数行业占比!J13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88">
        <v>1070.72</v>
      </c>
      <c r="N37" s="89">
        <f t="shared" si="18"/>
        <v>954.65503995060783</v>
      </c>
      <c r="O37" s="83">
        <f>权益类资产估值!C15</f>
        <v>6.0069037499999992E-2</v>
      </c>
      <c r="P37" s="60">
        <f t="shared" si="19"/>
        <v>5.355761487070107E-2</v>
      </c>
    </row>
    <row r="38" spans="1:17">
      <c r="A38" s="84" t="str">
        <f>指数行业占比!J14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88">
        <v>1234.22</v>
      </c>
      <c r="N38" s="89">
        <f t="shared" si="18"/>
        <v>1073.2657630309971</v>
      </c>
      <c r="O38" s="83">
        <f>权益类资产估值!C8</f>
        <v>2.4085612499999999E-2</v>
      </c>
      <c r="P38" s="60">
        <f t="shared" si="19"/>
        <v>2.0944615447717117E-2</v>
      </c>
    </row>
    <row r="39" spans="1:17">
      <c r="A39" s="98" t="s">
        <v>7496</v>
      </c>
      <c r="M39" s="88"/>
      <c r="O39" s="83">
        <f>1-SUM(O26:O38)</f>
        <v>0.2676330375</v>
      </c>
      <c r="P39" s="60">
        <f>O39</f>
        <v>0.2676330375</v>
      </c>
    </row>
    <row r="40" spans="1:17">
      <c r="M40" s="88"/>
      <c r="O40" s="83">
        <f>SUM(O26:O39)</f>
        <v>1</v>
      </c>
      <c r="P40" s="83">
        <f>SUM(P26:P39)</f>
        <v>0.94156399913102717</v>
      </c>
    </row>
    <row r="41" spans="1:17">
      <c r="M41" s="88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3"/>
  <sheetViews>
    <sheetView tabSelected="1" topLeftCell="A10" zoomScaleNormal="100" zoomScalePageLayoutView="85" workbookViewId="0">
      <selection activeCell="H32" sqref="H32"/>
    </sheetView>
  </sheetViews>
  <sheetFormatPr defaultColWidth="8.875" defaultRowHeight="14.25"/>
  <cols>
    <col min="1" max="1" width="10.625" style="139" bestFit="1" customWidth="1"/>
    <col min="2" max="2" width="8.625" style="139" bestFit="1" customWidth="1"/>
    <col min="3" max="3" width="8.375" style="139" bestFit="1" customWidth="1"/>
    <col min="4" max="5" width="8.875" style="139" bestFit="1" customWidth="1"/>
    <col min="6" max="6" width="11.625" style="139" customWidth="1"/>
    <col min="7" max="8" width="11.625" style="139" bestFit="1" customWidth="1"/>
    <col min="9" max="9" width="12.625" style="139" bestFit="1" customWidth="1"/>
    <col min="10" max="13" width="8.5" style="139" customWidth="1"/>
    <col min="14" max="14" width="11.625" style="139" bestFit="1" customWidth="1"/>
    <col min="15" max="15" width="37.125" style="139" bestFit="1" customWidth="1"/>
    <col min="16" max="16" width="11.625" style="139" bestFit="1" customWidth="1"/>
    <col min="17" max="17" width="12.625" style="139" bestFit="1" customWidth="1"/>
    <col min="18" max="18" width="8.875" style="139"/>
    <col min="19" max="21" width="11.625" style="139" bestFit="1" customWidth="1"/>
    <col min="22" max="22" width="12.625" style="139" bestFit="1" customWidth="1"/>
    <col min="23" max="16384" width="8.875" style="139"/>
  </cols>
  <sheetData>
    <row r="1" spans="1:23">
      <c r="B1" s="139" t="s">
        <v>7600</v>
      </c>
      <c r="C1" s="139" t="s">
        <v>7601</v>
      </c>
      <c r="D1" s="139" t="s">
        <v>215</v>
      </c>
      <c r="E1" s="139" t="s">
        <v>216</v>
      </c>
      <c r="F1" s="139" t="s">
        <v>7352</v>
      </c>
      <c r="G1" s="139" t="s">
        <v>7349</v>
      </c>
      <c r="H1" s="139" t="s">
        <v>7350</v>
      </c>
      <c r="I1" s="139" t="s">
        <v>7351</v>
      </c>
      <c r="K1" s="139" t="s">
        <v>7354</v>
      </c>
      <c r="L1" s="139" t="s">
        <v>7622</v>
      </c>
      <c r="M1" s="139" t="s">
        <v>7623</v>
      </c>
    </row>
    <row r="2" spans="1:23">
      <c r="A2" s="139" t="s">
        <v>7508</v>
      </c>
      <c r="B2" s="138">
        <f>交易明细!Z14</f>
        <v>8.0543625000000004E-3</v>
      </c>
      <c r="C2" s="138">
        <f>交易明细!W14</f>
        <v>0.12470000000000001</v>
      </c>
      <c r="D2" s="61">
        <f>交易明细!X14</f>
        <v>8.5398201438848922</v>
      </c>
      <c r="E2" s="139">
        <v>14.95</v>
      </c>
      <c r="F2" s="60">
        <f t="shared" ref="F2:F15" si="0">$E2*$K$4/$D2-1</f>
        <v>-0.47481329531142724</v>
      </c>
      <c r="G2" s="60">
        <f t="shared" ref="G2:G15" si="1">$E2*$K$6/$D2-1</f>
        <v>-0.12468882551904537</v>
      </c>
      <c r="H2" s="60">
        <f t="shared" ref="H2:H15" si="2">$E2*$K$8/$D2-1</f>
        <v>0.22543564427333629</v>
      </c>
      <c r="I2" s="60">
        <f t="shared" ref="I2:I15" si="3">$E2*$K$10/$D2-1</f>
        <v>0.75062234896190927</v>
      </c>
      <c r="K2" s="139">
        <v>0.9</v>
      </c>
      <c r="L2" s="138">
        <v>3.5000000000000003E-2</v>
      </c>
      <c r="M2" s="139" t="s">
        <v>7624</v>
      </c>
      <c r="P2" s="60"/>
      <c r="Q2" s="60"/>
      <c r="R2" s="61"/>
      <c r="S2" s="61"/>
      <c r="T2" s="60"/>
      <c r="U2" s="60"/>
      <c r="V2" s="60"/>
      <c r="W2" s="60"/>
    </row>
    <row r="3" spans="1:23">
      <c r="A3" s="139" t="s">
        <v>7509</v>
      </c>
      <c r="B3" s="138">
        <f>交易明细!Z15</f>
        <v>5.5856999999999997E-2</v>
      </c>
      <c r="C3" s="138">
        <f>交易明细!W15</f>
        <v>0.1206</v>
      </c>
      <c r="D3" s="61">
        <f>交易明细!X15</f>
        <v>11.13122139762593</v>
      </c>
      <c r="E3" s="61">
        <v>19</v>
      </c>
      <c r="F3" s="60">
        <f t="shared" si="0"/>
        <v>-0.48792681446299346</v>
      </c>
      <c r="G3" s="60">
        <f t="shared" si="1"/>
        <v>-0.14654469077165577</v>
      </c>
      <c r="H3" s="60">
        <f t="shared" si="2"/>
        <v>0.19483743291968181</v>
      </c>
      <c r="I3" s="60">
        <f t="shared" si="3"/>
        <v>0.70691061845668846</v>
      </c>
      <c r="K3" s="139" t="s">
        <v>7602</v>
      </c>
      <c r="L3" s="139" t="s">
        <v>7612</v>
      </c>
      <c r="M3" s="139" t="s">
        <v>7625</v>
      </c>
      <c r="P3" s="60"/>
      <c r="Q3" s="60"/>
      <c r="R3" s="61"/>
      <c r="S3" s="61"/>
      <c r="T3" s="60"/>
      <c r="U3" s="60"/>
      <c r="V3" s="60"/>
      <c r="W3" s="60"/>
    </row>
    <row r="4" spans="1:23">
      <c r="A4" s="139" t="s">
        <v>7511</v>
      </c>
      <c r="B4" s="138">
        <f>交易明细!Z16</f>
        <v>0.22490663750000001</v>
      </c>
      <c r="C4" s="138">
        <f>交易明细!W16</f>
        <v>8.3500000000000005E-2</v>
      </c>
      <c r="D4" s="61">
        <f>交易明细!X16</f>
        <v>23.629239947302043</v>
      </c>
      <c r="E4" s="61">
        <v>83.24</v>
      </c>
      <c r="F4" s="60">
        <f t="shared" si="0"/>
        <v>5.6826205823487408E-2</v>
      </c>
      <c r="G4" s="60">
        <f t="shared" si="1"/>
        <v>0.76137700970581235</v>
      </c>
      <c r="H4" s="60">
        <f t="shared" si="2"/>
        <v>1.4659278135881371</v>
      </c>
      <c r="I4" s="60">
        <f t="shared" si="3"/>
        <v>2.5227540194116247</v>
      </c>
      <c r="K4" s="74">
        <v>0.3</v>
      </c>
      <c r="L4" s="138">
        <v>6.5000000000000002E-2</v>
      </c>
      <c r="M4" s="139" t="s">
        <v>7626</v>
      </c>
      <c r="P4" s="60"/>
      <c r="Q4" s="60"/>
      <c r="R4" s="61"/>
      <c r="S4" s="61"/>
      <c r="T4" s="60"/>
      <c r="U4" s="60"/>
      <c r="V4" s="60"/>
      <c r="W4" s="60"/>
    </row>
    <row r="5" spans="1:23">
      <c r="A5" s="139" t="s">
        <v>7512</v>
      </c>
      <c r="B5" s="138">
        <f>交易明细!Z17</f>
        <v>4.9623162499999998E-2</v>
      </c>
      <c r="C5" s="138">
        <f>交易明细!W17</f>
        <v>6.3E-2</v>
      </c>
      <c r="D5" s="61">
        <f>交易明细!X17</f>
        <v>39.137977297060289</v>
      </c>
      <c r="E5" s="61">
        <v>144.82</v>
      </c>
      <c r="F5" s="60">
        <f t="shared" si="0"/>
        <v>0.1100726966608796</v>
      </c>
      <c r="G5" s="60">
        <f t="shared" si="1"/>
        <v>0.85012116110146607</v>
      </c>
      <c r="H5" s="60">
        <f t="shared" si="2"/>
        <v>1.5901696255420523</v>
      </c>
      <c r="I5" s="60">
        <f t="shared" si="3"/>
        <v>2.7002423222029321</v>
      </c>
      <c r="K5" s="139" t="s">
        <v>7603</v>
      </c>
      <c r="L5" s="139" t="s">
        <v>7613</v>
      </c>
      <c r="P5" s="60"/>
      <c r="Q5" s="60"/>
      <c r="R5" s="61"/>
      <c r="S5" s="61"/>
      <c r="T5" s="60"/>
      <c r="U5" s="60"/>
      <c r="V5" s="60"/>
      <c r="W5" s="60"/>
    </row>
    <row r="6" spans="1:23">
      <c r="A6" s="139" t="s">
        <v>40</v>
      </c>
      <c r="B6" s="138">
        <f>交易明细!Z18</f>
        <v>2.4085612499999999E-2</v>
      </c>
      <c r="C6" s="138">
        <f>交易明细!W18</f>
        <v>8.72E-2</v>
      </c>
      <c r="D6" s="61">
        <f>交易明细!X18</f>
        <v>45.024502996848753</v>
      </c>
      <c r="E6" s="61">
        <v>137.86000000000001</v>
      </c>
      <c r="F6" s="60">
        <f t="shared" si="0"/>
        <v>-8.1433502932955593E-2</v>
      </c>
      <c r="G6" s="60">
        <f t="shared" si="1"/>
        <v>0.53094416177840742</v>
      </c>
      <c r="H6" s="60">
        <f t="shared" si="2"/>
        <v>1.1433218264897702</v>
      </c>
      <c r="I6" s="60">
        <f t="shared" si="3"/>
        <v>2.0618883235568148</v>
      </c>
      <c r="K6" s="74">
        <v>0.5</v>
      </c>
      <c r="L6" s="138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39" t="s">
        <v>7514</v>
      </c>
      <c r="B7" s="138">
        <f>交易明细!Z13</f>
        <v>8.2900000000000001E-2</v>
      </c>
      <c r="C7" s="138">
        <f>交易明细!W13</f>
        <v>0.12989999999999999</v>
      </c>
      <c r="D7" s="61">
        <f>交易明细!X13</f>
        <v>11.116579017846806</v>
      </c>
      <c r="E7" s="61">
        <v>21.73</v>
      </c>
      <c r="F7" s="60">
        <f t="shared" si="0"/>
        <v>-0.41357858478455911</v>
      </c>
      <c r="G7" s="60">
        <f t="shared" si="1"/>
        <v>-2.2630974640931889E-2</v>
      </c>
      <c r="H7" s="60">
        <f t="shared" si="2"/>
        <v>0.36831663550269522</v>
      </c>
      <c r="I7" s="60">
        <f t="shared" si="3"/>
        <v>0.95473805071813622</v>
      </c>
      <c r="K7" s="139" t="s">
        <v>7604</v>
      </c>
      <c r="L7" s="139" t="s">
        <v>7614</v>
      </c>
      <c r="P7" s="60"/>
      <c r="Q7" s="60"/>
      <c r="R7" s="61"/>
      <c r="S7" s="61"/>
      <c r="T7" s="60"/>
      <c r="U7" s="60"/>
      <c r="V7" s="60"/>
      <c r="W7" s="60"/>
    </row>
    <row r="8" spans="1:23">
      <c r="A8" s="139" t="s">
        <v>7516</v>
      </c>
      <c r="B8" s="138">
        <f>交易明细!Z21</f>
        <v>7.2749999999999995E-2</v>
      </c>
      <c r="C8" s="138">
        <f>交易明细!W21</f>
        <v>0.1182</v>
      </c>
      <c r="D8" s="61">
        <f>交易明细!X21</f>
        <v>26.314408791425617</v>
      </c>
      <c r="E8" s="61">
        <v>52.47</v>
      </c>
      <c r="F8" s="60">
        <f t="shared" si="0"/>
        <v>-0.40181061544011942</v>
      </c>
      <c r="G8" s="60">
        <f t="shared" si="1"/>
        <v>-3.0176924001991123E-3</v>
      </c>
      <c r="H8" s="60">
        <f t="shared" si="2"/>
        <v>0.39577523063972131</v>
      </c>
      <c r="I8" s="60">
        <f t="shared" si="3"/>
        <v>0.99396461519960178</v>
      </c>
      <c r="K8" s="74">
        <v>0.7</v>
      </c>
      <c r="L8" s="138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39" t="s">
        <v>7517</v>
      </c>
      <c r="B9" s="138">
        <f>交易明细!Z19</f>
        <v>6.1076224999999998E-2</v>
      </c>
      <c r="C9" s="138">
        <f>交易明细!W19</f>
        <v>0.1101</v>
      </c>
      <c r="D9" s="61">
        <f>交易明细!X19</f>
        <v>31.212942145172736</v>
      </c>
      <c r="E9" s="61">
        <v>74.42</v>
      </c>
      <c r="F9" s="60">
        <f t="shared" si="0"/>
        <v>-0.28471978398701359</v>
      </c>
      <c r="G9" s="60">
        <f t="shared" si="1"/>
        <v>0.19213369335497732</v>
      </c>
      <c r="H9" s="60">
        <f t="shared" si="2"/>
        <v>0.66898717069696811</v>
      </c>
      <c r="I9" s="60">
        <f t="shared" si="3"/>
        <v>1.3842673867099546</v>
      </c>
      <c r="K9" s="139" t="s">
        <v>7605</v>
      </c>
      <c r="P9" s="60"/>
      <c r="Q9" s="60"/>
      <c r="R9" s="61"/>
      <c r="S9" s="61"/>
      <c r="T9" s="60"/>
      <c r="U9" s="60"/>
      <c r="V9" s="60"/>
      <c r="W9" s="60"/>
    </row>
    <row r="10" spans="1:23">
      <c r="A10" s="139" t="s">
        <v>7518</v>
      </c>
      <c r="B10" s="138">
        <f>交易明细!Z25</f>
        <v>3.70254125E-2</v>
      </c>
      <c r="C10" s="138">
        <f>交易明细!W25</f>
        <v>6.4399999999999999E-2</v>
      </c>
      <c r="D10" s="61">
        <f>交易明细!X25</f>
        <v>48.993843347992886</v>
      </c>
      <c r="E10" s="61">
        <v>121.16</v>
      </c>
      <c r="F10" s="60">
        <f t="shared" si="0"/>
        <v>-0.25811086626072877</v>
      </c>
      <c r="G10" s="60">
        <f t="shared" si="1"/>
        <v>0.23648188956545213</v>
      </c>
      <c r="H10" s="60">
        <f t="shared" si="2"/>
        <v>0.7310746453916328</v>
      </c>
      <c r="I10" s="60">
        <f t="shared" si="3"/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39" t="s">
        <v>7519</v>
      </c>
      <c r="B11" s="138">
        <f>交易明细!Z23</f>
        <v>6.0069037499999992E-2</v>
      </c>
      <c r="C11" s="138">
        <f>交易明细!W23</f>
        <v>7.4099999999999999E-2</v>
      </c>
      <c r="D11" s="61">
        <f>交易明细!X23</f>
        <v>29.630467250766401</v>
      </c>
      <c r="E11" s="61">
        <v>71.13</v>
      </c>
      <c r="F11" s="60">
        <f t="shared" si="0"/>
        <v>-0.27982910902466251</v>
      </c>
      <c r="G11" s="60">
        <f t="shared" si="1"/>
        <v>0.20028481829222922</v>
      </c>
      <c r="H11" s="60">
        <f t="shared" si="2"/>
        <v>0.68039874560912095</v>
      </c>
      <c r="I11" s="60">
        <f t="shared" si="3"/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39" t="s">
        <v>7520</v>
      </c>
      <c r="B12" s="138">
        <f>交易明细!Z34</f>
        <v>8.0000000000000002E-3</v>
      </c>
      <c r="C12" s="138">
        <f>交易明细!W34</f>
        <v>0.17860000000000001</v>
      </c>
      <c r="D12" s="61">
        <f>交易明细!X34</f>
        <v>22.543592192691037</v>
      </c>
      <c r="E12" s="61">
        <v>41.41</v>
      </c>
      <c r="F12" s="60">
        <f t="shared" si="0"/>
        <v>-0.44893431828367991</v>
      </c>
      <c r="G12" s="60">
        <f t="shared" si="1"/>
        <v>-8.1557197139466409E-2</v>
      </c>
      <c r="H12" s="60">
        <f t="shared" si="2"/>
        <v>0.28581992400474698</v>
      </c>
      <c r="I12" s="60">
        <f t="shared" si="3"/>
        <v>0.83688560572106718</v>
      </c>
      <c r="P12" s="60"/>
      <c r="Q12" s="60"/>
      <c r="R12" s="61"/>
      <c r="T12" s="60"/>
      <c r="U12" s="60"/>
      <c r="V12" s="60"/>
      <c r="W12" s="60"/>
    </row>
    <row r="13" spans="1:23">
      <c r="A13" s="139" t="s">
        <v>7521</v>
      </c>
      <c r="B13" s="138">
        <f>交易明细!Z37</f>
        <v>1.6E-2</v>
      </c>
      <c r="C13" s="138">
        <f>C2</f>
        <v>0.12470000000000001</v>
      </c>
      <c r="D13" s="61">
        <f>交易明细!Y37</f>
        <v>0.96584967320261417</v>
      </c>
      <c r="E13" s="61">
        <v>3.5</v>
      </c>
      <c r="F13" s="60">
        <f t="shared" si="0"/>
        <v>8.7125697851463624E-2</v>
      </c>
      <c r="G13" s="60">
        <f t="shared" si="1"/>
        <v>0.81187616308577271</v>
      </c>
      <c r="H13" s="60">
        <f t="shared" si="2"/>
        <v>1.5366266283200813</v>
      </c>
      <c r="I13" s="60">
        <f t="shared" si="3"/>
        <v>2.6237523261715454</v>
      </c>
      <c r="P13" s="60"/>
      <c r="Q13" s="60"/>
      <c r="R13" s="61"/>
    </row>
    <row r="14" spans="1:23">
      <c r="A14" s="139" t="s">
        <v>7522</v>
      </c>
      <c r="B14" s="138">
        <f>交易明细!Z22</f>
        <v>3.1965149999999998E-2</v>
      </c>
      <c r="C14" s="138">
        <v>4.9099999999999998E-2</v>
      </c>
      <c r="D14" s="61">
        <f>交易明细!Y22</f>
        <v>1.3802694951084966</v>
      </c>
      <c r="E14" s="139">
        <v>5.04</v>
      </c>
      <c r="F14" s="60">
        <f t="shared" si="0"/>
        <v>9.5438249818850629E-2</v>
      </c>
      <c r="G14" s="60">
        <f t="shared" si="1"/>
        <v>0.82573041636475097</v>
      </c>
      <c r="H14" s="60">
        <f t="shared" si="2"/>
        <v>1.5560225829106509</v>
      </c>
      <c r="I14" s="60">
        <f t="shared" si="3"/>
        <v>2.6514608327295019</v>
      </c>
      <c r="P14" s="60"/>
      <c r="Q14" s="60"/>
      <c r="R14" s="61"/>
    </row>
    <row r="15" spans="1:23">
      <c r="A15" s="139" t="s">
        <v>7525</v>
      </c>
      <c r="B15" s="138">
        <f>交易明细!Z39</f>
        <v>8.0000000000000002E-3</v>
      </c>
      <c r="C15" s="138">
        <v>0.1116</v>
      </c>
      <c r="D15" s="61">
        <f>交易明细!X39</f>
        <v>10.362642127325124</v>
      </c>
      <c r="E15" s="61">
        <v>14.46</v>
      </c>
      <c r="F15" s="60">
        <f t="shared" si="0"/>
        <v>-0.58138089237288426</v>
      </c>
      <c r="G15" s="60">
        <f t="shared" si="1"/>
        <v>-0.30230148728814032</v>
      </c>
      <c r="H15" s="60">
        <f t="shared" si="2"/>
        <v>-2.3222082203396499E-2</v>
      </c>
      <c r="I15" s="60">
        <f t="shared" si="3"/>
        <v>0.39539702542371935</v>
      </c>
      <c r="P15" s="60"/>
      <c r="Q15" s="60"/>
    </row>
    <row r="16" spans="1:23">
      <c r="A16" s="139" t="s">
        <v>7383</v>
      </c>
      <c r="B16" s="138">
        <f>交易明细!Z40</f>
        <v>1.6E-2</v>
      </c>
      <c r="F16" s="60"/>
      <c r="G16" s="60"/>
      <c r="H16" s="60"/>
      <c r="I16" s="60"/>
      <c r="P16" s="138"/>
      <c r="Q16" s="138"/>
    </row>
    <row r="17" spans="1:13">
      <c r="A17" s="139" t="s">
        <v>119</v>
      </c>
      <c r="B17" s="138">
        <f>交易明细!Z38</f>
        <v>2.0250000000000001E-2</v>
      </c>
      <c r="F17" s="60"/>
      <c r="G17" s="60"/>
      <c r="H17" s="60"/>
      <c r="I17" s="60"/>
    </row>
    <row r="18" spans="1:13">
      <c r="A18" s="139" t="s">
        <v>7388</v>
      </c>
      <c r="B18" s="138">
        <f>交易明细!Z46</f>
        <v>1.6E-2</v>
      </c>
      <c r="F18" s="60"/>
      <c r="G18" s="60"/>
      <c r="H18" s="60"/>
      <c r="I18" s="60"/>
    </row>
    <row r="19" spans="1:13">
      <c r="A19" s="139" t="s">
        <v>7533</v>
      </c>
      <c r="B19" s="138">
        <f>交易明细!Z43</f>
        <v>5.6000000000000001E-2</v>
      </c>
      <c r="F19" s="60"/>
      <c r="G19" s="60"/>
      <c r="H19" s="60"/>
      <c r="I19" s="60"/>
    </row>
    <row r="20" spans="1:13">
      <c r="A20" s="139" t="s">
        <v>7535</v>
      </c>
      <c r="B20" s="138">
        <f>交易明细!Z42</f>
        <v>6.4313999999999994E-3</v>
      </c>
      <c r="F20" s="60"/>
      <c r="G20" s="60"/>
      <c r="H20" s="60"/>
      <c r="I20" s="60"/>
    </row>
    <row r="21" spans="1:13">
      <c r="A21" s="139" t="s">
        <v>7538</v>
      </c>
      <c r="B21" s="138">
        <f>1-SUM(B2:B20)</f>
        <v>0.14500599999999986</v>
      </c>
      <c r="F21" s="60"/>
      <c r="G21" s="60"/>
      <c r="H21" s="60"/>
      <c r="I21" s="60"/>
    </row>
    <row r="22" spans="1:13">
      <c r="B22" s="138"/>
      <c r="F22" s="60"/>
    </row>
    <row r="23" spans="1:13">
      <c r="F23" s="60"/>
    </row>
    <row r="24" spans="1:13">
      <c r="C24" s="145">
        <v>3</v>
      </c>
      <c r="D24" s="145">
        <v>5</v>
      </c>
      <c r="E24" s="145">
        <v>7</v>
      </c>
      <c r="F24" s="145">
        <v>10</v>
      </c>
      <c r="I24" s="9" t="s">
        <v>7627</v>
      </c>
      <c r="J24" s="148" t="str">
        <f>C24&amp;$M$2</f>
        <v>3年</v>
      </c>
      <c r="K24" s="148" t="str">
        <f t="shared" ref="K24:M24" si="4">D24&amp;$M$2</f>
        <v>5年</v>
      </c>
      <c r="L24" s="148" t="str">
        <f t="shared" si="4"/>
        <v>7年</v>
      </c>
      <c r="M24" s="148" t="str">
        <f t="shared" si="4"/>
        <v>10年</v>
      </c>
    </row>
    <row r="25" spans="1:13">
      <c r="A25" s="139" t="s">
        <v>7606</v>
      </c>
      <c r="B25" s="61">
        <f>E$2*$K$4</f>
        <v>4.4849999999999994</v>
      </c>
      <c r="C25" s="60">
        <f>($B25/$D$2)^(1/$C$24)-1+$C$2*$K$2</f>
        <v>-8.0960058260495613E-2</v>
      </c>
      <c r="D25" s="60">
        <f>($B25/$D$2)^(1/$D$24)-1+$C$2*$K$2</f>
        <v>-8.6204773211712576E-3</v>
      </c>
      <c r="E25" s="60">
        <f>($B25/$D$2)^(1/$E$24)-1+$C$2*$K$2</f>
        <v>2.4334960396272545E-2</v>
      </c>
      <c r="F25" s="60">
        <f>($B25/$D$2)^(1/$F$24)-1+$C$2*$K$2</f>
        <v>4.9859736451883643E-2</v>
      </c>
      <c r="I25" s="149">
        <f>K4</f>
        <v>0.3</v>
      </c>
      <c r="J25" s="150">
        <f>(C25*$A$26+C30+$A$31+C35*$A$36+C40*$A$41+C45*$A$46+C50*$A$51+C55*$A$56+C60*$A$61+C65*$A$66+C70*$A$71+C75*$A$76+C80*$A$81+C85*$A$86+C90*$A$91+C95*$A$96+C100*$A$101+C105*$A$106+C110*$A$111+C115*$A$116+C120*$A$121)</f>
        <v>-6.4545107480358114E-3</v>
      </c>
      <c r="K25" s="150">
        <f>(D25*$A$26+D30+$A$31+D35*$A$36+D40*$A$41+D45*$A$46+D50*$A$51+D55*$A$56+D60*$A$61+D65*$A$66+D70*$A$71+D75*$A$76+D80*$A$81+D85*$A$86+D90*$A$91+D95*$A$96+D100*$A$101+D105*$A$106+D110*$A$111+D115*$A$116+D120*$A$121)</f>
        <v>8.3108350239870954E-2</v>
      </c>
      <c r="L25" s="150">
        <f>(E25*$A$26+E30+$A$31+E35*$A$36+E40*$A$41+E45*$A$46+E50*$A$51+E55*$A$56+E60*$A$61+E65*$A$66+E70*$A$71+E75*$A$76+E80*$A$81+E85*$A$86+E90*$A$91+E95*$A$96+E100*$A$101+E105*$A$106+E110*$A$111+E115*$A$116+E120*$A$121)</f>
        <v>0.12394705628760397</v>
      </c>
      <c r="M25" s="150">
        <f>(F25*$A$26+F30+$A$31+F35*$A$36+F40*$A$41+F45*$A$46+F50*$A$51+F55*$A$56+F60*$A$61+F65*$A$66+F70*$A$71+F75*$A$76+F80*$A$81+F85*$A$86+F90*$A$91+F95*$A$96+F100*$A$101+F105*$A$106+F110*$A$111+F115*$A$116+F120*$A$121)</f>
        <v>0.15559201279282478</v>
      </c>
    </row>
    <row r="26" spans="1:13">
      <c r="A26" s="138">
        <f>B2</f>
        <v>8.0543625000000004E-3</v>
      </c>
      <c r="B26" s="61">
        <f>$E$2*$K$6</f>
        <v>7.4749999999999996</v>
      </c>
      <c r="C26" s="60">
        <f t="shared" ref="C26:C28" si="5">($B26/$D$2)^(1/$C$24)-1+$C$2*$K$2</f>
        <v>6.8808959923086846E-2</v>
      </c>
      <c r="D26" s="60">
        <f t="shared" ref="D26:D28" si="6">($B26/$D$2)^(1/$D$24)-1+$C$2*$K$2</f>
        <v>8.5946422001869929E-2</v>
      </c>
      <c r="E26" s="60">
        <f t="shared" ref="E26:E28" si="7">($B26/$D$2)^(1/$E$24)-1+$C$2*$K$2</f>
        <v>9.3384717027424305E-2</v>
      </c>
      <c r="F26" s="60">
        <f t="shared" ref="F26:F28" si="8">($B26/$D$2)^(1/$F$24)-1+$C$2*$K$2</f>
        <v>9.9000703862791986E-2</v>
      </c>
      <c r="H26" s="139" t="s">
        <v>7620</v>
      </c>
      <c r="I26" s="149">
        <f>K6</f>
        <v>0.5</v>
      </c>
      <c r="J26" s="150">
        <f>(C26*$A$26+C31+$A$31+C36*$A$36+C41*$A$41+C46*$A$46+C51*$A$51+C56*$A$56+C61*$A$61+C66*$A$66+C71*$A$71+C76*$A$76+C81*$A$81+C86*$A$86+C91*$A$91+C96*$A$96+C101*$A$101+C106*$A$106+C111*$A$111+C116*$A$116+C121*$A$121)</f>
        <v>0.26178898351149393</v>
      </c>
      <c r="K26" s="150">
        <f>(D26*$A$26+D31+$A$31+D36*$A$36+D41*$A$41+D46*$A$46+D51*$A$51+D56*$A$56+D61*$A$61+D66*$A$66+D71*$A$71+D76*$A$76+D81*$A$81+D86*$A$86+D91*$A$91+D96*$A$96+D101*$A$101+D106*$A$106+D111*$A$111+D116*$A$116+D121*$A$121)</f>
        <v>0.24817946266796936</v>
      </c>
      <c r="L26" s="150">
        <f>(E26*$A$26+E31+$A$31+E36*$A$36+E41*$A$41+E46*$A$46+E51*$A$51+E56*$A$56+E61*$A$61+E66*$A$66+E71*$A$71+E76*$A$76+E81*$A$81+E86*$A$86+E91*$A$91+E96*$A$96+E101*$A$101+E106*$A$106+E111*$A$111+E116*$A$116+E121*$A$121)</f>
        <v>0.24321351893455764</v>
      </c>
      <c r="M26" s="150">
        <f>(F26*$A$26+F31+$A$31+F36*$A$36+F41*$A$41+F46*$A$46+F51*$A$51+F56*$A$56+F61*$A$61+F66*$A$66+F71*$A$71+F76*$A$76+F81*$A$81+F86*$A$86+F91*$A$91+F96*$A$96+F101*$A$101+F106*$A$106+F111*$A$111+F116*$A$116+F121*$A$121)</f>
        <v>0.23981881618773254</v>
      </c>
    </row>
    <row r="27" spans="1:13">
      <c r="B27" s="61">
        <f>E$2*$K$8</f>
        <v>10.464999999999998</v>
      </c>
      <c r="C27" s="60">
        <f t="shared" si="5"/>
        <v>0.18234430469368074</v>
      </c>
      <c r="D27" s="60">
        <f>($B27/$D$2)^(1/$D$24)-1+$C$2*$K$2</f>
        <v>0.15372718798708979</v>
      </c>
      <c r="E27" s="60">
        <f t="shared" si="7"/>
        <v>0.14169818546398888</v>
      </c>
      <c r="F27" s="60">
        <f t="shared" si="8"/>
        <v>0.13276769552480999</v>
      </c>
      <c r="H27" s="139" t="s">
        <v>7621</v>
      </c>
      <c r="I27" s="149">
        <f>K8</f>
        <v>0.7</v>
      </c>
      <c r="J27" s="150">
        <f>(C27*$A$26+C32+$A$31+C37*$A$36+C42*$A$41+C47*$A$46+C52*$A$51+C57*$A$56+C62*$A$61+C67*$A$66+C72*$A$71+C77*$A$76+C82*$A$81+C87*$A$86+C92*$A$91+C97*$A$96+C102*$A$101+C107*$A$106+C112*$A$111+C117*$A$116+C122*$A$121)</f>
        <v>0.46513623097687812</v>
      </c>
      <c r="K27" s="150">
        <f>(D27*$A$26+D32+$A$31+D37*$A$36+D42*$A$41+D47*$A$46+D52*$A$51+D57*$A$56+D62*$A$61+D67*$A$66+D72*$A$71+D77*$A$76+D82*$A$81+D87*$A$86+D92*$A$91+D97*$A$96+D102*$A$101+D107*$A$106+D112*$A$111+D117*$A$116+D122*$A$121)</f>
        <v>0.36649407933091338</v>
      </c>
      <c r="L27" s="150">
        <f>(E27*$A$26+E32+$A$31+E37*$A$36+E42*$A$41+E47*$A$46+E52*$A$51+E57*$A$56+E62*$A$61+E67*$A$66+E72*$A$71+E77*$A$76+E82*$A$81+E87*$A$86+E92*$A$91+E97*$A$96+E102*$A$101+E107*$A$106+E112*$A$111+E117*$A$116+E122*$A$121)</f>
        <v>0.32666314656198797</v>
      </c>
      <c r="M27" s="150">
        <f>(F27*$A$26+F32+$A$31+F37*$A$36+F42*$A$41+F47*$A$46+F52*$A$51+F57*$A$56+F62*$A$61+F67*$A$66+F72*$A$71+F77*$A$76+F82*$A$81+F87*$A$86+F92*$A$91+F97*$A$96+F102*$A$101+F107*$A$106+F112*$A$111+F117*$A$116+F122*$A$121)</f>
        <v>0.29769488004647821</v>
      </c>
    </row>
    <row r="28" spans="1:13">
      <c r="B28" s="61">
        <f>E$2*$K$10</f>
        <v>14.95</v>
      </c>
      <c r="C28" s="60">
        <f t="shared" si="5"/>
        <v>0.31744396749364151</v>
      </c>
      <c r="D28" s="60">
        <f t="shared" si="6"/>
        <v>0.23073645218714661</v>
      </c>
      <c r="E28" s="60">
        <f t="shared" si="7"/>
        <v>0.19551263436157579</v>
      </c>
      <c r="F28" s="60">
        <f t="shared" si="8"/>
        <v>0.1698246540083998</v>
      </c>
      <c r="I28" s="149">
        <f>K10</f>
        <v>1</v>
      </c>
      <c r="J28" s="150">
        <f>(C28*$A$26+C33+$A$31+C38*$A$36+C43*$A$41+C48*$A$46+C53*$A$51+C58*$A$56+C63*$A$61+C68*$A$66+C73*$A$71+C78*$A$76+C83*$A$81+C88*$A$86+C93*$A$91+C98*$A$96+C103*$A$101+C108*$A$106+C113*$A$111+C118*$A$116+C123*$A$121)</f>
        <v>0.70710620622452336</v>
      </c>
      <c r="K28" s="150">
        <f>(D28*$A$26+D33+$A$31+D38*$A$36+D43*$A$41+D48*$A$46+D53*$A$51+D58*$A$56+D63*$A$61+D68*$A$66+D73*$A$71+D78*$A$76+D83*$A$81+D88*$A$86+D93*$A$91+D98*$A$96+D103*$A$101+D108*$A$106+D113*$A$111+D118*$A$116+D123*$A$121)</f>
        <v>0.50091748751889287</v>
      </c>
      <c r="L28" s="150">
        <f>(E28*$A$26+E33+$A$31+E38*$A$36+E43*$A$41+E48*$A$46+E53*$A$51+E58*$A$56+E63*$A$61+E68*$A$66+E73*$A$71+E78*$A$76+E83*$A$81+E88*$A$86+E93*$A$91+E98*$A$96+E103*$A$101+E108*$A$106+E113*$A$111+E118*$A$116+E123*$A$121)</f>
        <v>0.41961436424107906</v>
      </c>
      <c r="M28" s="150">
        <f>(F28*$A$26+F33+$A$31+F38*$A$36+F43*$A$41+F48*$A$46+F53*$A$51+F58*$A$56+F63*$A$61+F68*$A$66+F73*$A$71+F78*$A$76+F83*$A$81+F88*$A$86+F93*$A$91+F98*$A$96+F103*$A$101+F108*$A$106+F113*$A$111+F118*$A$116+F123*$A$121)</f>
        <v>0.36120989249040764</v>
      </c>
    </row>
    <row r="29" spans="1:13">
      <c r="C29" s="144"/>
      <c r="D29" s="144"/>
      <c r="E29" s="144"/>
      <c r="F29" s="144"/>
    </row>
    <row r="30" spans="1:13">
      <c r="A30" s="139" t="s">
        <v>7509</v>
      </c>
      <c r="B30" s="139">
        <f>$E$3*$K$4</f>
        <v>5.7</v>
      </c>
      <c r="C30" s="60">
        <f>($B30/$D$3)^(1/$C$24)-1+$C$3*$K$2</f>
        <v>-9.1421884348841548E-2</v>
      </c>
      <c r="D30" s="60">
        <f>($B30/$D$3)^(1/$D$24)-1+$C$3*$K$2</f>
        <v>-1.6745336559198049E-2</v>
      </c>
      <c r="E30" s="60">
        <f>($B30/$D$3)^(1/$E$24)-1+$C$3*$K$2</f>
        <v>1.7356085052106202E-2</v>
      </c>
      <c r="F30" s="60">
        <f>($B30/$D$3)^(1/$F$24)-1+$C$3*$K$2</f>
        <v>4.3801815451054354E-2</v>
      </c>
      <c r="I30" s="151" t="s">
        <v>7628</v>
      </c>
    </row>
    <row r="31" spans="1:13">
      <c r="A31" s="138">
        <f>B3</f>
        <v>5.5856999999999997E-2</v>
      </c>
      <c r="B31" s="61">
        <f>$E$3*$K$6</f>
        <v>9.5</v>
      </c>
      <c r="C31" s="60">
        <f t="shared" ref="C31:C33" si="9">($B31/$D$3)^(1/$C$24)-1+$C$3*$K$2</f>
        <v>5.7090072298817379E-2</v>
      </c>
      <c r="D31" s="60">
        <f t="shared" ref="D31:D33" si="10">($B31/$D$3)^(1/$D$24)-1+$C$3*$K$2</f>
        <v>7.73445211727877E-2</v>
      </c>
      <c r="E31" s="60">
        <f t="shared" ref="E31:E33" si="11">($B31/$D$3)^(1/$E$24)-1+$C$3*$K$2</f>
        <v>8.6156861519827849E-2</v>
      </c>
      <c r="F31" s="60">
        <f t="shared" ref="F31:F33" si="12">($B31/$D$3)^(1/$F$24)-1+$C$3*$K$2</f>
        <v>9.2818680645267132E-2</v>
      </c>
    </row>
    <row r="32" spans="1:13">
      <c r="B32" s="61">
        <f>$E$3*$K$8</f>
        <v>13.299999999999999</v>
      </c>
      <c r="C32" s="60">
        <f t="shared" si="9"/>
        <v>0.16967247689119649</v>
      </c>
      <c r="D32" s="60">
        <f t="shared" si="10"/>
        <v>0.14478336789577098</v>
      </c>
      <c r="E32" s="60">
        <f t="shared" si="11"/>
        <v>0.13429612086639567</v>
      </c>
      <c r="F32" s="60">
        <f t="shared" si="12"/>
        <v>0.12650039603501809</v>
      </c>
    </row>
    <row r="33" spans="1:6">
      <c r="B33" s="61">
        <f>$E$3*$K$10</f>
        <v>19</v>
      </c>
      <c r="C33" s="60">
        <f t="shared" si="9"/>
        <v>0.3036382029685839</v>
      </c>
      <c r="D33" s="60">
        <f t="shared" si="10"/>
        <v>0.22140415978487141</v>
      </c>
      <c r="E33" s="60">
        <f t="shared" si="11"/>
        <v>0.18791652519474536</v>
      </c>
      <c r="F33" s="60">
        <f t="shared" si="12"/>
        <v>0.16346376965583223</v>
      </c>
    </row>
    <row r="34" spans="1:6">
      <c r="B34" s="61"/>
      <c r="C34" s="144"/>
      <c r="D34" s="144"/>
      <c r="E34" s="144"/>
      <c r="F34" s="144"/>
    </row>
    <row r="35" spans="1:6">
      <c r="A35" s="139" t="s">
        <v>7511</v>
      </c>
      <c r="B35" s="139">
        <f>$E$4*$K$4</f>
        <v>24.971999999999998</v>
      </c>
      <c r="C35" s="60">
        <f>($B35/$D$4)^(1/$C$24)-1+$C$4*$K$2</f>
        <v>9.374418206143971E-2</v>
      </c>
      <c r="D35" s="60">
        <f>($B35/$D$4)^(1/$D$24)-1+$C$4*$K$2</f>
        <v>8.6265376051579204E-2</v>
      </c>
      <c r="E35" s="60">
        <f>($B35/$D$4)^(1/$E$24)-1+$C$4*$K$2</f>
        <v>8.3077006697114666E-2</v>
      </c>
      <c r="F35" s="60">
        <f>($B35/$D$4)^(1/$F$24)-1+$C$4*$K$2</f>
        <v>8.0692329318651404E-2</v>
      </c>
    </row>
    <row r="36" spans="1:6">
      <c r="A36" s="138">
        <f>B4</f>
        <v>0.22490663750000001</v>
      </c>
      <c r="B36" s="139">
        <f>$E$4*$K$6</f>
        <v>41.62</v>
      </c>
      <c r="C36" s="60">
        <f>($B36/$D$4)^(1/$C$24)-1+$C$4*$K$2</f>
        <v>0.28282694205562214</v>
      </c>
      <c r="D36" s="60">
        <f>($B36/$D$4)^(1/$D$24)-1+$C$4*$K$2</f>
        <v>0.19502735965556711</v>
      </c>
      <c r="E36" s="60">
        <f>($B36/$D$4)^(1/$E$24)-1+$C$4*$K$2</f>
        <v>0.15938085059262835</v>
      </c>
      <c r="F36" s="60">
        <f>($B36/$D$4)^(1/$F$24)-1+$C$4*$K$2</f>
        <v>0.13339258072313792</v>
      </c>
    </row>
    <row r="37" spans="1:6">
      <c r="B37" s="139">
        <f>$E$4*$K$8</f>
        <v>58.267999999999994</v>
      </c>
      <c r="C37" s="60">
        <f>($B37/$D$4)^(1/$C$24)-1+$C$4*$K$2</f>
        <v>0.42616484068430033</v>
      </c>
      <c r="D37" s="60">
        <f>($B37/$D$4)^(1/$D$24)-1+$C$4*$K$2</f>
        <v>0.27298244342718919</v>
      </c>
      <c r="E37" s="60">
        <f>($B37/$D$4)^(1/$E$24)-1+$C$4*$K$2</f>
        <v>0.21276993599269617</v>
      </c>
      <c r="F37" s="60">
        <f>($B37/$D$4)^(1/$F$24)-1+$C$4*$K$2</f>
        <v>0.16960531815016971</v>
      </c>
    </row>
    <row r="38" spans="1:6">
      <c r="B38" s="139">
        <f>$E$4*$K$10</f>
        <v>83.24</v>
      </c>
      <c r="C38" s="60">
        <f>($B38/$D$4)^(1/$C$24)-1+$C$4*$K$2</f>
        <v>0.59672760076854958</v>
      </c>
      <c r="D38" s="60">
        <f>($B38/$D$4)^(1/$D$24)-1+$C$4*$K$2</f>
        <v>0.36155128083477289</v>
      </c>
      <c r="E38" s="60">
        <f>($B38/$D$4)^(1/$E$24)-1+$C$4*$K$2</f>
        <v>0.27223791254095903</v>
      </c>
      <c r="F38" s="60">
        <f>($B38/$D$4)^(1/$F$24)-1+$C$4*$K$2</f>
        <v>0.20934631494498029</v>
      </c>
    </row>
    <row r="39" spans="1:6">
      <c r="C39" s="60"/>
      <c r="D39" s="60"/>
      <c r="E39" s="60"/>
      <c r="F39" s="60"/>
    </row>
    <row r="40" spans="1:6">
      <c r="A40" s="139" t="s">
        <v>7512</v>
      </c>
      <c r="B40" s="139">
        <f>$E$5*$K$4</f>
        <v>43.445999999999998</v>
      </c>
      <c r="C40" s="60">
        <f>($B40/$D$5)^(1/$C$24)-1+$C$5*$K$2</f>
        <v>9.2121408569333402E-2</v>
      </c>
      <c r="D40" s="60">
        <f>($B40/$D$5)^(1/$D$24)-1+$C$5*$K$2</f>
        <v>7.7804721121945725E-2</v>
      </c>
      <c r="E40" s="60">
        <f>($B40/$D$5)^(1/$E$24)-1+$C$5*$K$2</f>
        <v>7.172975707674592E-2</v>
      </c>
      <c r="F40" s="60">
        <f>($B40/$D$5)^(1/$F$24)-1+$C$5*$K$2</f>
        <v>6.7197264282266939E-2</v>
      </c>
    </row>
    <row r="41" spans="1:6">
      <c r="A41" s="138">
        <f>B5</f>
        <v>4.9623162499999998E-2</v>
      </c>
      <c r="B41" s="139">
        <f>$E$5*$K$6</f>
        <v>72.41</v>
      </c>
      <c r="C41" s="60">
        <f t="shared" ref="C41:C43" si="13">($B41/$D$5)^(1/$C$24)-1+$C$5*$K$2</f>
        <v>0.28432782515531052</v>
      </c>
      <c r="D41" s="60">
        <f t="shared" ref="D41:D43" si="14">($B41/$D$5)^(1/$D$24)-1+$C$5*$K$2</f>
        <v>0.18764122204659842</v>
      </c>
      <c r="E41" s="60">
        <f t="shared" ref="E41:E43" si="15">($B41/$D$5)^(1/$E$24)-1+$C$5*$K$2</f>
        <v>0.14857130573916758</v>
      </c>
      <c r="F41" s="60">
        <f t="shared" ref="F41:F43" si="16">($B41/$D$5)^(1/$F$24)-1+$C$5*$K$2</f>
        <v>0.12015720273389399</v>
      </c>
    </row>
    <row r="42" spans="1:6">
      <c r="B42" s="139">
        <f>$E$5*$K$8</f>
        <v>101.374</v>
      </c>
      <c r="C42" s="60">
        <f t="shared" si="13"/>
        <v>0.43003367299268036</v>
      </c>
      <c r="D42" s="60">
        <f t="shared" si="14"/>
        <v>0.26636646543623055</v>
      </c>
      <c r="E42" s="60">
        <f t="shared" si="15"/>
        <v>0.20233661813193796</v>
      </c>
      <c r="F42" s="60">
        <f t="shared" si="16"/>
        <v>0.15654838293113407</v>
      </c>
    </row>
    <row r="43" spans="1:6">
      <c r="B43" s="139">
        <f>$E$5*$K$10</f>
        <v>144.82</v>
      </c>
      <c r="C43" s="60">
        <f t="shared" si="13"/>
        <v>0.60341413834983859</v>
      </c>
      <c r="D43" s="60">
        <f t="shared" si="14"/>
        <v>0.35581032136326396</v>
      </c>
      <c r="E43" s="60">
        <f t="shared" si="15"/>
        <v>0.26222365894794786</v>
      </c>
      <c r="F43" s="60">
        <f t="shared" si="16"/>
        <v>0.19648520843326625</v>
      </c>
    </row>
    <row r="44" spans="1:6">
      <c r="C44" s="60"/>
      <c r="D44" s="60"/>
      <c r="E44" s="60"/>
      <c r="F44" s="60"/>
    </row>
    <row r="45" spans="1:6">
      <c r="A45" s="139" t="s">
        <v>40</v>
      </c>
      <c r="B45" s="139">
        <f>$E$6*$K$4</f>
        <v>41.358000000000004</v>
      </c>
      <c r="C45" s="60">
        <f>($B45/$D$6)^(1/$C$24)-1+$C$6*$K$2</f>
        <v>5.0563415460228925E-2</v>
      </c>
      <c r="D45" s="60">
        <f>($B45/$D$6)^(1/$D$24)-1+$C$6*$K$2</f>
        <v>6.1635289832231779E-2</v>
      </c>
      <c r="E45" s="60">
        <f>($B45/$D$6)^(1/$E$24)-1+$C$6*$K$2</f>
        <v>6.6418899615459007E-2</v>
      </c>
      <c r="F45" s="60">
        <f>($B45/$D$6)^(1/$F$24)-1+$C$6*$K$2</f>
        <v>7.0021874976660695E-2</v>
      </c>
    </row>
    <row r="46" spans="1:6">
      <c r="A46" s="138">
        <f>B6</f>
        <v>2.4085612499999999E-2</v>
      </c>
      <c r="B46" s="139">
        <f>$E$6*$K$6</f>
        <v>68.930000000000007</v>
      </c>
      <c r="C46" s="60">
        <f t="shared" ref="C46:C48" si="17">($B46/$D$6)^(1/$C$24)-1+$C$6*$K$2</f>
        <v>0.23101233061877335</v>
      </c>
      <c r="D46" s="60">
        <f t="shared" ref="D46:D48" si="18">($B46/$D$6)^(1/$D$24)-1+$C$6*$K$2</f>
        <v>0.16738970920469776</v>
      </c>
      <c r="E46" s="60">
        <f t="shared" ref="E46:E48" si="19">($B46/$D$6)^(1/$E$24)-1+$C$6*$K$2</f>
        <v>0.14120956905251358</v>
      </c>
      <c r="F46" s="60">
        <f t="shared" ref="F46:F48" si="20">($B46/$D$6)^(1/$F$24)-1+$C$6*$K$2</f>
        <v>0.12198836566109884</v>
      </c>
    </row>
    <row r="47" spans="1:6">
      <c r="B47" s="139">
        <f>$E$6*$K$8</f>
        <v>96.50200000000001</v>
      </c>
      <c r="C47" s="60">
        <f t="shared" si="17"/>
        <v>0.36780517365452214</v>
      </c>
      <c r="D47" s="60">
        <f t="shared" si="18"/>
        <v>0.24318912319311214</v>
      </c>
      <c r="E47" s="60">
        <f t="shared" si="19"/>
        <v>0.1935399004467081</v>
      </c>
      <c r="F47" s="60">
        <f t="shared" si="20"/>
        <v>0.15769690275547121</v>
      </c>
    </row>
    <row r="48" spans="1:6">
      <c r="B48" s="139">
        <f>$E$6*$K$10</f>
        <v>137.86000000000001</v>
      </c>
      <c r="C48" s="60">
        <f t="shared" si="17"/>
        <v>0.53057974403098995</v>
      </c>
      <c r="D48" s="60">
        <f t="shared" si="18"/>
        <v>0.32930879170373595</v>
      </c>
      <c r="E48" s="60">
        <f t="shared" si="19"/>
        <v>0.25182857306196971</v>
      </c>
      <c r="F48" s="60">
        <f t="shared" si="20"/>
        <v>0.19688457425018424</v>
      </c>
    </row>
    <row r="49" spans="1:6">
      <c r="C49" s="60"/>
      <c r="D49" s="60"/>
      <c r="E49" s="60"/>
      <c r="F49" s="60"/>
    </row>
    <row r="50" spans="1:6">
      <c r="A50" s="139" t="s">
        <v>7514</v>
      </c>
      <c r="B50" s="139">
        <f>$E$7*$K$4</f>
        <v>6.5190000000000001</v>
      </c>
      <c r="C50" s="60">
        <f>($B50/$D$7)^(1/$C$24)-1+$C$7*$K$2</f>
        <v>-4.6068512201730111E-2</v>
      </c>
      <c r="D50" s="60">
        <f>($B50/$D$7)^(1/$D$24)-1+$C$7*$K$2</f>
        <v>1.566633449607327E-2</v>
      </c>
      <c r="E50" s="60">
        <f>($B50/$D$7)^(1/$E$24)-1+$C$7*$K$2</f>
        <v>4.3498951383923373E-2</v>
      </c>
      <c r="F50" s="60">
        <f>($B50/$D$7)^(1/$F$24)-1+$C$7*$K$2</f>
        <v>6.493760218048153E-2</v>
      </c>
    </row>
    <row r="51" spans="1:6">
      <c r="A51" s="138">
        <f>B7</f>
        <v>8.2900000000000001E-2</v>
      </c>
      <c r="B51" s="139">
        <f>$E$7*$K$6</f>
        <v>10.865</v>
      </c>
      <c r="C51" s="60">
        <f t="shared" ref="C51:C53" si="21">($B51/$D$7)^(1/$C$24)-1+$C$7*$K$2</f>
        <v>0.10930870855465893</v>
      </c>
      <c r="D51" s="60">
        <f t="shared" ref="D51:D53" si="22">($B51/$D$7)^(1/$D$24)-1+$C$7*$K$2</f>
        <v>0.11234226686905283</v>
      </c>
      <c r="E51" s="60">
        <f t="shared" ref="E51:E53" si="23">($B51/$D$7)^(1/$E$24)-1+$C$7*$K$2</f>
        <v>0.1136452003006895</v>
      </c>
      <c r="F51" s="60">
        <f t="shared" ref="F51:F53" si="24">($B51/$D$7)^(1/$F$24)-1+$C$7*$K$2</f>
        <v>0.11462351943784579</v>
      </c>
    </row>
    <row r="52" spans="1:6">
      <c r="B52" s="139">
        <f>$E$7*$K$8</f>
        <v>15.210999999999999</v>
      </c>
      <c r="C52" s="60">
        <f t="shared" si="21"/>
        <v>0.22709546139595563</v>
      </c>
      <c r="D52" s="60">
        <f t="shared" si="22"/>
        <v>0.18163468097466465</v>
      </c>
      <c r="E52" s="60">
        <f t="shared" si="23"/>
        <v>0.1627258741267669</v>
      </c>
      <c r="F52" s="60">
        <f t="shared" si="24"/>
        <v>0.14876497090175636</v>
      </c>
    </row>
    <row r="53" spans="1:6">
      <c r="B53" s="139">
        <f>$E$7*$K$10</f>
        <v>21.73</v>
      </c>
      <c r="C53" s="60">
        <f t="shared" si="21"/>
        <v>0.3672540227965021</v>
      </c>
      <c r="D53" s="60">
        <f t="shared" si="22"/>
        <v>0.26036140746345049</v>
      </c>
      <c r="E53" s="60">
        <f t="shared" si="23"/>
        <v>0.21739488256155806</v>
      </c>
      <c r="F53" s="60">
        <f t="shared" si="24"/>
        <v>0.18623287334717134</v>
      </c>
    </row>
    <row r="54" spans="1:6">
      <c r="C54" s="60"/>
      <c r="D54" s="60"/>
      <c r="E54" s="60"/>
      <c r="F54" s="60"/>
    </row>
    <row r="55" spans="1:6">
      <c r="A55" s="139" t="s">
        <v>7607</v>
      </c>
      <c r="B55" s="139">
        <f>$E$8*$K$4</f>
        <v>15.741</v>
      </c>
      <c r="C55" s="60">
        <f>($B55/$D$8)^(1/$C$24)-1+$C$8*$K$2</f>
        <v>-5.103659632349325E-2</v>
      </c>
      <c r="D55" s="60">
        <f>($B55/$D$8)^(1/$D$24)-1+$C$8*$K$2</f>
        <v>8.7148693945172384E-3</v>
      </c>
      <c r="E55" s="60">
        <f>($B55/$D$8)^(1/$E$24)-1+$C$8*$K$2</f>
        <v>3.5602708335259109E-2</v>
      </c>
      <c r="F55" s="60">
        <f>($B55/$D$8)^(1/$F$24)-1+$C$8*$K$2</f>
        <v>5.6293085179121655E-2</v>
      </c>
    </row>
    <row r="56" spans="1:6">
      <c r="A56" s="138">
        <f>B8</f>
        <v>7.2749999999999995E-2</v>
      </c>
      <c r="B56" s="139">
        <f>$E$8*$K$6</f>
        <v>26.234999999999999</v>
      </c>
      <c r="C56" s="60">
        <f t="shared" ref="C56:C58" si="25">($B56/$D$8)^(1/$C$24)-1+$C$8*$K$2</f>
        <v>0.1053730890038049</v>
      </c>
      <c r="D56" s="60">
        <f t="shared" ref="D56:D58" si="26">($B56/$D$8)^(1/$D$24)-1+$C$8*$K$2</f>
        <v>0.10577573168070883</v>
      </c>
      <c r="E56" s="60">
        <f t="shared" ref="E56:E58" si="27">($B56/$D$8)^(1/$E$24)-1+$C$8*$K$2</f>
        <v>0.10594834250307814</v>
      </c>
      <c r="F56" s="60">
        <f t="shared" ref="F56:F58" si="28">($B56/$D$8)^(1/$F$24)-1+$C$8*$K$2</f>
        <v>0.10607782018403375</v>
      </c>
    </row>
    <row r="57" spans="1:6">
      <c r="B57" s="139">
        <f>$E$8*$K$8</f>
        <v>36.728999999999999</v>
      </c>
      <c r="C57" s="60">
        <f t="shared" si="25"/>
        <v>0.22394252188429306</v>
      </c>
      <c r="D57" s="60">
        <f t="shared" si="26"/>
        <v>0.17534404406103307</v>
      </c>
      <c r="E57" s="60">
        <f t="shared" si="27"/>
        <v>0.15516852432315073</v>
      </c>
      <c r="F57" s="60">
        <f t="shared" si="28"/>
        <v>0.14028717381253961</v>
      </c>
    </row>
    <row r="58" spans="1:6">
      <c r="B58" s="139">
        <f>$E$8*$K$10</f>
        <v>52.47</v>
      </c>
      <c r="C58" s="60">
        <f t="shared" si="25"/>
        <v>0.36503242153539628</v>
      </c>
      <c r="D58" s="60">
        <f t="shared" si="26"/>
        <v>0.25438423297268831</v>
      </c>
      <c r="E58" s="60">
        <f t="shared" si="27"/>
        <v>0.20999292515796228</v>
      </c>
      <c r="F58" s="60">
        <f t="shared" si="28"/>
        <v>0.1778295942286264</v>
      </c>
    </row>
    <row r="59" spans="1:6">
      <c r="C59" s="60"/>
      <c r="D59" s="60"/>
      <c r="E59" s="60"/>
      <c r="F59" s="60"/>
    </row>
    <row r="60" spans="1:6">
      <c r="A60" s="139" t="s">
        <v>7608</v>
      </c>
      <c r="B60" s="139">
        <f>$E$9*$K$4</f>
        <v>22.326000000000001</v>
      </c>
      <c r="C60" s="60">
        <f>($B60/$D$9)^(1/$C$24)-1+$C$9*$K$2</f>
        <v>-6.5917959409513838E-3</v>
      </c>
      <c r="D60" s="60">
        <f>($B60/$D$9)^(1/$D$24)-1+$C$9*$K$2</f>
        <v>3.4270069522520874E-2</v>
      </c>
      <c r="E60" s="60">
        <f>($B60/$D$9)^(1/$E$24)-1+$C$9*$K$2</f>
        <v>5.2348941411717642E-2</v>
      </c>
      <c r="F60" s="60">
        <f>($B60/$D$9)^(1/$F$24)-1+$C$9*$K$2</f>
        <v>6.6137087541512041E-2</v>
      </c>
    </row>
    <row r="61" spans="1:6">
      <c r="A61" s="138">
        <f>B9</f>
        <v>6.1076224999999998E-2</v>
      </c>
      <c r="B61" s="139">
        <f>$E$9*$K$6</f>
        <v>37.21</v>
      </c>
      <c r="C61" s="60">
        <f t="shared" ref="C61:C63" si="29">($B61/$D$9)^(1/$C$24)-1+$C$9*$K$2</f>
        <v>0.15942147736706913</v>
      </c>
      <c r="D61" s="60">
        <f t="shared" ref="D61:D63" si="30">($B61/$D$9)^(1/$D$24)-1+$C$9*$K$2</f>
        <v>0.13486396987973992</v>
      </c>
      <c r="E61" s="60">
        <f t="shared" ref="E61:E63" si="31">($B61/$D$9)^(1/$E$24)-1+$C$9*$K$2</f>
        <v>0.12451420831515747</v>
      </c>
      <c r="F61" s="60">
        <f t="shared" ref="F61:F63" si="32">($B61/$D$9)^(1/$F$24)-1+$C$9*$K$2</f>
        <v>0.11681981182617418</v>
      </c>
    </row>
    <row r="62" spans="1:6">
      <c r="B62" s="139">
        <f>$E$9*$K$8</f>
        <v>52.094000000000001</v>
      </c>
      <c r="C62" s="60">
        <f t="shared" si="29"/>
        <v>0.28527109867137102</v>
      </c>
      <c r="D62" s="60">
        <f t="shared" si="30"/>
        <v>0.20696458508931481</v>
      </c>
      <c r="E62" s="60">
        <f t="shared" si="31"/>
        <v>0.17500757012930535</v>
      </c>
      <c r="F62" s="60">
        <f t="shared" si="32"/>
        <v>0.15164621469321771</v>
      </c>
    </row>
    <row r="63" spans="1:6">
      <c r="B63" s="139">
        <f>$E$9*$K$10</f>
        <v>74.42</v>
      </c>
      <c r="C63" s="60">
        <f t="shared" si="29"/>
        <v>0.43502394820089962</v>
      </c>
      <c r="D63" s="60">
        <f t="shared" si="30"/>
        <v>0.28888185534960586</v>
      </c>
      <c r="E63" s="60">
        <f t="shared" si="31"/>
        <v>0.23125011546803631</v>
      </c>
      <c r="F63" s="60">
        <f t="shared" si="32"/>
        <v>0.18986580434734879</v>
      </c>
    </row>
    <row r="64" spans="1:6">
      <c r="C64" s="60"/>
      <c r="D64" s="60"/>
      <c r="E64" s="60"/>
      <c r="F64" s="60"/>
    </row>
    <row r="65" spans="1:6">
      <c r="A65" s="139" t="s">
        <v>7609</v>
      </c>
      <c r="B65" s="139">
        <f>$E$10*$K$4</f>
        <v>36.347999999999999</v>
      </c>
      <c r="C65" s="60">
        <f>($B65/$D$10)^(1/$C$24)-1+$C$10*$K$2</f>
        <v>-3.6766786501823981E-2</v>
      </c>
      <c r="D65" s="60">
        <f>($B65/$D$10)^(1/$D$24)-1+$C$10*$K$2</f>
        <v>-3.3442572899972101E-6</v>
      </c>
      <c r="E65" s="60">
        <f>($B65/$D$10)^(1/$E$24)-1+$C$10*$K$2</f>
        <v>1.6205969968485986E-2</v>
      </c>
      <c r="F65" s="60">
        <f>($B65/$D$10)^(1/$F$24)-1+$C$10*$K$2</f>
        <v>2.8545728177944082E-2</v>
      </c>
    </row>
    <row r="66" spans="1:6">
      <c r="A66" s="138">
        <f>B10</f>
        <v>3.70254125E-2</v>
      </c>
      <c r="B66" s="139">
        <f>$E$10*$K$6</f>
        <v>60.58</v>
      </c>
      <c r="C66" s="60">
        <f t="shared" ref="C66:C68" si="33">($B66/$D$10)^(1/$C$24)-1+$C$10*$K$2</f>
        <v>0.13128007727528845</v>
      </c>
      <c r="D66" s="60">
        <f t="shared" ref="D66:D68" si="34">($B66/$D$10)^(1/$D$24)-1+$C$10*$K$2</f>
        <v>0.10132809400680153</v>
      </c>
      <c r="E66" s="60">
        <f t="shared" ref="E66:E68" si="35">($B66/$D$10)^(1/$E$24)-1+$C$10*$K$2</f>
        <v>8.8748773584375926E-2</v>
      </c>
      <c r="F66" s="60">
        <f t="shared" ref="F66:F68" si="36">($B66/$D$10)^(1/$F$24)-1+$C$10*$K$2</f>
        <v>7.941391183684908E-2</v>
      </c>
    </row>
    <row r="67" spans="1:6">
      <c r="B67" s="139">
        <f>$E$10*$K$8</f>
        <v>84.811999999999998</v>
      </c>
      <c r="C67" s="60">
        <f t="shared" si="33"/>
        <v>0.25867130176181541</v>
      </c>
      <c r="D67" s="60">
        <f t="shared" si="34"/>
        <v>0.17395733905016408</v>
      </c>
      <c r="E67" s="60">
        <f t="shared" si="35"/>
        <v>0.13950629430263173</v>
      </c>
      <c r="F67" s="60">
        <f t="shared" si="36"/>
        <v>0.1143677522671651</v>
      </c>
    </row>
    <row r="68" spans="1:6">
      <c r="B68" s="139">
        <f>$E$10*$K$10</f>
        <v>121.16</v>
      </c>
      <c r="C68" s="60">
        <f t="shared" si="33"/>
        <v>0.41025855863392779</v>
      </c>
      <c r="D68" s="60">
        <f t="shared" si="34"/>
        <v>0.25647521324200473</v>
      </c>
      <c r="E68" s="60">
        <f t="shared" si="35"/>
        <v>0.19604307572719915</v>
      </c>
      <c r="F68" s="60">
        <f t="shared" si="36"/>
        <v>0.15272719591062134</v>
      </c>
    </row>
    <row r="69" spans="1:6">
      <c r="C69" s="60"/>
      <c r="D69" s="60"/>
      <c r="E69" s="60"/>
      <c r="F69" s="60"/>
    </row>
    <row r="70" spans="1:6">
      <c r="A70" s="139" t="s">
        <v>7519</v>
      </c>
      <c r="B70" s="139">
        <f>$E$11*$K$4</f>
        <v>21.338999999999999</v>
      </c>
      <c r="C70" s="60">
        <f>($B70/$D$11)^(1/$C$24)-1+$C$11*$K$2</f>
        <v>-3.6958145962055294E-2</v>
      </c>
      <c r="D70" s="60">
        <f>($B70/$D$11)^(1/$D$24)-1+$C$11*$K$2</f>
        <v>3.1454309525555668E-3</v>
      </c>
      <c r="E70" s="60">
        <f>($B70/$D$11)^(1/$E$24)-1+$C$11*$K$2</f>
        <v>2.087734394904503E-2</v>
      </c>
      <c r="F70" s="60">
        <f>($B70/$D$11)^(1/$F$24)-1+$C$11*$K$2</f>
        <v>3.4396273076988754E-2</v>
      </c>
    </row>
    <row r="71" spans="1:6">
      <c r="A71" s="138">
        <f>B11</f>
        <v>6.0069037499999992E-2</v>
      </c>
      <c r="B71" s="139">
        <f>$E$11*$K$6</f>
        <v>35.564999999999998</v>
      </c>
      <c r="C71" s="60">
        <f t="shared" ref="C71:C73" si="37">($B71/$D$11)^(1/$C$24)-1+$C$11*$K$2</f>
        <v>0.12943263603160657</v>
      </c>
      <c r="D71" s="60">
        <f t="shared" ref="D71:D73" si="38">($B71/$D$11)^(1/$D$24)-1+$C$11*$K$2</f>
        <v>0.10387651727512356</v>
      </c>
      <c r="E71" s="60">
        <f t="shared" ref="E71:E73" si="39">($B71/$D$11)^(1/$E$24)-1+$C$11*$K$2</f>
        <v>9.3112894396640028E-2</v>
      </c>
      <c r="F71" s="60">
        <f t="shared" ref="F71:F73" si="40">($B71/$D$11)^(1/$F$24)-1+$C$11*$K$2</f>
        <v>8.5113545129983453E-2</v>
      </c>
    </row>
    <row r="72" spans="1:6">
      <c r="B72" s="61">
        <f>$E$11*$K$8</f>
        <v>49.790999999999997</v>
      </c>
      <c r="C72" s="60">
        <f t="shared" si="37"/>
        <v>0.25556843520699279</v>
      </c>
      <c r="D72" s="60">
        <f t="shared" si="38"/>
        <v>0.1760754604396205</v>
      </c>
      <c r="E72" s="60">
        <f t="shared" si="39"/>
        <v>0.14365543294880742</v>
      </c>
      <c r="F72" s="60">
        <f t="shared" si="40"/>
        <v>0.11996368733849069</v>
      </c>
    </row>
    <row r="73" spans="1:6">
      <c r="A73" s="138"/>
      <c r="B73" s="61">
        <f>$E$11*$K$10</f>
        <v>71.13</v>
      </c>
      <c r="C73" s="60">
        <f t="shared" si="37"/>
        <v>0.40566181775698673</v>
      </c>
      <c r="D73" s="60">
        <f t="shared" si="38"/>
        <v>0.25810444621903816</v>
      </c>
      <c r="E73" s="60">
        <f t="shared" si="39"/>
        <v>0.19995275429805334</v>
      </c>
      <c r="F73" s="60">
        <f t="shared" si="40"/>
        <v>0.15820932929244921</v>
      </c>
    </row>
    <row r="74" spans="1:6">
      <c r="B74" s="61"/>
      <c r="C74" s="60"/>
      <c r="D74" s="60"/>
      <c r="E74" s="60"/>
      <c r="F74" s="60"/>
    </row>
    <row r="75" spans="1:6">
      <c r="A75" s="139" t="s">
        <v>7520</v>
      </c>
      <c r="B75" s="61">
        <f>$E$12*$K$4</f>
        <v>12.422999999999998</v>
      </c>
      <c r="C75" s="60">
        <f>($B75/$D$12)^(1/$C$24)-1+$C$12*$K$2</f>
        <v>-1.9409897657549496E-2</v>
      </c>
      <c r="D75" s="60">
        <f>($B75/$D$12)^(1/$D$24)-1+$C$12*$K$2</f>
        <v>4.8387783856711636E-2</v>
      </c>
      <c r="E75" s="60">
        <f>($B75/$D$12)^(1/$E$24)-1+$C$12*$K$2</f>
        <v>7.9134030622910384E-2</v>
      </c>
      <c r="F75" s="60">
        <f>($B75/$D$12)^(1/$F$24)-1+$C$12*$K$2</f>
        <v>0.10289061633303179</v>
      </c>
    </row>
    <row r="76" spans="1:6">
      <c r="A76" s="138">
        <f>B12</f>
        <v>8.0000000000000002E-3</v>
      </c>
      <c r="B76" s="61">
        <f>$E$12*$K$6</f>
        <v>20.704999999999998</v>
      </c>
      <c r="C76" s="60">
        <f t="shared" ref="C76:C78" si="41">($B76/$D$12)^(1/$C$24)-1+$C$12*$K$2</f>
        <v>0.13277977990245174</v>
      </c>
      <c r="D76" s="60">
        <f t="shared" ref="D76:D78" si="42">($B76/$D$12)^(1/$D$24)-1+$C$12*$K$2</f>
        <v>0.14386881005862664</v>
      </c>
      <c r="E76" s="60">
        <f t="shared" ref="E76:E78" si="43">($B76/$D$12)^(1/$E$24)-1+$C$12*$K$2</f>
        <v>0.14865989339035249</v>
      </c>
      <c r="F76" s="60">
        <f t="shared" ref="F76:F78" si="44">($B76/$D$12)^(1/$F$24)-1+$C$12*$K$2</f>
        <v>0.15226852206006994</v>
      </c>
    </row>
    <row r="77" spans="1:6">
      <c r="A77" s="138"/>
      <c r="B77" s="61">
        <f>$E$12*$K$8</f>
        <v>28.986999999999995</v>
      </c>
      <c r="C77" s="60">
        <f t="shared" si="41"/>
        <v>0.24815015304010749</v>
      </c>
      <c r="D77" s="60">
        <f t="shared" si="42"/>
        <v>0.21230477591294741</v>
      </c>
      <c r="E77" s="60">
        <f t="shared" si="43"/>
        <v>0.19730648883431537</v>
      </c>
      <c r="F77" s="60">
        <f t="shared" si="44"/>
        <v>0.18619832480552204</v>
      </c>
    </row>
    <row r="78" spans="1:6">
      <c r="B78" s="61">
        <f>$E$12*$K$10</f>
        <v>41.41</v>
      </c>
      <c r="C78" s="60">
        <f t="shared" si="41"/>
        <v>0.38543338003427829</v>
      </c>
      <c r="D78" s="60">
        <f t="shared" si="42"/>
        <v>0.29005844686453697</v>
      </c>
      <c r="E78" s="60">
        <f t="shared" si="43"/>
        <v>0.25149199464203875</v>
      </c>
      <c r="F78" s="60">
        <f t="shared" si="44"/>
        <v>0.22343395729181462</v>
      </c>
    </row>
    <row r="79" spans="1:6">
      <c r="B79" s="61"/>
      <c r="C79" s="60"/>
      <c r="D79" s="60"/>
      <c r="E79" s="60"/>
      <c r="F79" s="60"/>
    </row>
    <row r="80" spans="1:6">
      <c r="A80" s="139" t="s">
        <v>7610</v>
      </c>
      <c r="B80" s="61">
        <f>$E$13*$K$4</f>
        <v>1.05</v>
      </c>
      <c r="C80" s="60">
        <f>($B80/$D$13)^(1/$C$24)-1+$C$13*$K$2</f>
        <v>0.14046706279969262</v>
      </c>
      <c r="D80" s="60">
        <f>($B80/$D$13)^(1/$D$24)-1+$C$13*$K$2</f>
        <v>0.1290777977161181</v>
      </c>
      <c r="E80" s="60">
        <f>($B80/$D$13)^(1/$E$24)-1+$C$13*$K$2</f>
        <v>0.12423538425833054</v>
      </c>
      <c r="F80" s="60">
        <f>($B80/$D$13)^(1/$F$24)-1+$C$13*$K$2</f>
        <v>0.12061871360012662</v>
      </c>
    </row>
    <row r="81" spans="1:6">
      <c r="A81" s="138">
        <f>B13</f>
        <v>1.6E-2</v>
      </c>
      <c r="B81" s="61">
        <f>$E$13*$K$6</f>
        <v>1.75</v>
      </c>
      <c r="C81" s="60">
        <f>($B81/$D$13)^(1/$C$24)-1+$C$13*$K$2</f>
        <v>0.33133984136691835</v>
      </c>
      <c r="D81" s="60">
        <f t="shared" ref="D81:D83" si="45">($B81/$D$13)^(1/$D$24)-1+$C$13*$K$2</f>
        <v>0.23845639695651782</v>
      </c>
      <c r="E81" s="60">
        <f t="shared" ref="E81:E83" si="46">($B81/$D$13)^(1/$E$24)-1+$C$13*$K$2</f>
        <v>0.2008479765877193</v>
      </c>
      <c r="F81" s="60">
        <f t="shared" ref="F81:F83" si="47">($B81/$D$13)^(1/$F$24)-1+$C$13*$K$2</f>
        <v>0.17346814337617816</v>
      </c>
    </row>
    <row r="82" spans="1:6">
      <c r="B82" s="61">
        <f>$E$13*$K$8</f>
        <v>2.4499999999999997</v>
      </c>
      <c r="C82" s="60">
        <f t="shared" ref="C81:C83" si="48">($B82/$D$13)^(1/$C$24)-1+$C$13*$K$2</f>
        <v>0.47603469871977716</v>
      </c>
      <c r="D82" s="60">
        <f t="shared" si="45"/>
        <v>0.31685343960015161</v>
      </c>
      <c r="E82" s="60">
        <f t="shared" si="46"/>
        <v>0.25445309037720704</v>
      </c>
      <c r="F82" s="60">
        <f t="shared" si="47"/>
        <v>0.20978338804094249</v>
      </c>
    </row>
    <row r="83" spans="1:6">
      <c r="B83" s="61">
        <f>$E$13*$K$10</f>
        <v>3.5</v>
      </c>
      <c r="C83" s="60">
        <f t="shared" si="48"/>
        <v>0.64821215127218013</v>
      </c>
      <c r="D83" s="60">
        <f t="shared" si="45"/>
        <v>0.40592440953818992</v>
      </c>
      <c r="E83" s="60">
        <f t="shared" si="46"/>
        <v>0.31416169234730468</v>
      </c>
      <c r="F83" s="60">
        <f t="shared" si="47"/>
        <v>0.24963687950187369</v>
      </c>
    </row>
    <row r="84" spans="1:6">
      <c r="B84" s="61"/>
      <c r="C84" s="60"/>
      <c r="D84" s="60"/>
      <c r="E84" s="60"/>
      <c r="F84" s="60"/>
    </row>
    <row r="85" spans="1:6">
      <c r="A85" s="138" t="s">
        <v>7522</v>
      </c>
      <c r="B85" s="61">
        <f>$E$14*$K$4</f>
        <v>1.512</v>
      </c>
      <c r="C85" s="60">
        <f>($B85/$D$14)^(1/$C$24)-1+$C$14*$K$2</f>
        <v>7.5041167417769394E-2</v>
      </c>
      <c r="D85" s="60">
        <f>($B85/$D$14)^(1/$D$24)-1+$C$14*$K$2</f>
        <v>6.25880996751767E-2</v>
      </c>
      <c r="E85" s="60">
        <f>($B85/$D$14)^(1/$E$24)-1+$C$14*$K$2</f>
        <v>5.7297229478615423E-2</v>
      </c>
      <c r="F85" s="60">
        <f>($B85/$D$14)^(1/$F$24)-1+$C$14*$K$2</f>
        <v>5.3347123383260357E-2</v>
      </c>
    </row>
    <row r="86" spans="1:6">
      <c r="A86" s="138">
        <f>B14</f>
        <v>3.1965149999999998E-2</v>
      </c>
      <c r="B86" s="61">
        <f>$E$14*$K$6</f>
        <v>2.52</v>
      </c>
      <c r="C86" s="60">
        <f t="shared" ref="C86:C88" si="49">($B86/$D$14)^(1/$C$24)-1+$C$14*$K$2</f>
        <v>0.26639920510467624</v>
      </c>
      <c r="D86" s="60">
        <f t="shared" ref="D86:D88" si="50">($B86/$D$14)^(1/$D$24)-1+$C$14*$K$2</f>
        <v>0.17213345922824314</v>
      </c>
      <c r="E86" s="60">
        <f t="shared" ref="E86:E88" si="51">($B86/$D$14)^(1/$E$24)-1+$C$14*$K$2</f>
        <v>0.13399323561190762</v>
      </c>
      <c r="F86" s="60">
        <f t="shared" ref="F86:F88" si="52">($B86/$D$14)^(1/$F$24)-1+$C$14*$K$2</f>
        <v>0.10623682534634177</v>
      </c>
    </row>
    <row r="87" spans="1:6">
      <c r="B87" s="61">
        <f>$E$14*$K$8</f>
        <v>3.5279999999999996</v>
      </c>
      <c r="C87" s="60">
        <f t="shared" si="49"/>
        <v>0.41146192266069509</v>
      </c>
      <c r="D87" s="60">
        <f t="shared" si="50"/>
        <v>0.25065002722175495</v>
      </c>
      <c r="E87" s="60">
        <f t="shared" si="51"/>
        <v>0.18765671325926642</v>
      </c>
      <c r="F87" s="60">
        <f t="shared" si="52"/>
        <v>0.14257974286077296</v>
      </c>
    </row>
    <row r="88" spans="1:6">
      <c r="B88" s="61">
        <f>$E$14*$K$10</f>
        <v>5.04</v>
      </c>
      <c r="C88" s="60">
        <f t="shared" si="49"/>
        <v>0.5840771048866622</v>
      </c>
      <c r="D88" s="60">
        <f t="shared" si="50"/>
        <v>0.33985679614514802</v>
      </c>
      <c r="E88" s="60">
        <f t="shared" si="51"/>
        <v>0.24743032440689811</v>
      </c>
      <c r="F88" s="60">
        <f t="shared" si="52"/>
        <v>0.18246360337712658</v>
      </c>
    </row>
    <row r="89" spans="1:6">
      <c r="A89" s="138"/>
      <c r="B89" s="61"/>
      <c r="C89" s="60"/>
      <c r="D89" s="60"/>
      <c r="E89" s="60"/>
      <c r="F89" s="60"/>
    </row>
    <row r="90" spans="1:6">
      <c r="A90" s="139" t="s">
        <v>7525</v>
      </c>
      <c r="B90" s="61">
        <f>$E$15*$K$4</f>
        <v>4.3380000000000001</v>
      </c>
      <c r="C90" s="60">
        <f>($B90/$D$15)^(1/$C$24)-1+$C$15*$K$2</f>
        <v>-0.15149440263109923</v>
      </c>
      <c r="D90" s="60">
        <f>($B90/$D$15)^(1/$D$24)-1+$C$15*$K$2</f>
        <v>-5.9396501237766491E-2</v>
      </c>
      <c r="E90" s="60">
        <f>($B90/$D$15)^(1/$E$24)-1+$C$15*$K$2</f>
        <v>-1.6532661248347819E-2</v>
      </c>
      <c r="F90" s="60">
        <f>($B90/$D$15)^(1/$F$24)-1+$C$15*$K$2</f>
        <v>1.7044330538664637E-2</v>
      </c>
    </row>
    <row r="91" spans="1:6">
      <c r="A91" s="138">
        <f>B15</f>
        <v>8.0000000000000002E-3</v>
      </c>
      <c r="B91" s="61">
        <f>$E$15*$K$6</f>
        <v>7.23</v>
      </c>
      <c r="C91" s="60">
        <f t="shared" ref="C91:C93" si="53">($B91/$D$15)^(1/$C$24)-1+$C$15*$K$2</f>
        <v>-1.2630161799732614E-2</v>
      </c>
      <c r="D91" s="60">
        <f t="shared" ref="D91:D93" si="54">($B91/$D$15)^(1/$D$24)-1+$C$15*$K$2</f>
        <v>3.0976814054776175E-2</v>
      </c>
      <c r="E91" s="60">
        <f t="shared" ref="E91:E93" si="55">($B91/$D$15)^(1/$E$24)-1+$C$15*$K$2</f>
        <v>5.0315810678572742E-2</v>
      </c>
      <c r="F91" s="60">
        <f t="shared" ref="F91:F93" si="56">($B91/$D$15)^(1/$F$24)-1+$C$15*$K$2</f>
        <v>6.5083361069144613E-2</v>
      </c>
    </row>
    <row r="92" spans="1:6">
      <c r="B92" s="61">
        <f>$E$15*$K$8</f>
        <v>10.122</v>
      </c>
      <c r="C92" s="60">
        <f t="shared" si="53"/>
        <v>9.2638602396681563E-2</v>
      </c>
      <c r="D92" s="60">
        <f t="shared" si="54"/>
        <v>9.575183130713763E-2</v>
      </c>
      <c r="E92" s="60">
        <f t="shared" si="55"/>
        <v>9.7089060810735789E-2</v>
      </c>
      <c r="F92" s="60">
        <f t="shared" si="56"/>
        <v>9.8093161828868097E-2</v>
      </c>
    </row>
    <row r="93" spans="1:6">
      <c r="A93" s="138"/>
      <c r="B93" s="61">
        <f>$E$15*$K$10</f>
        <v>14.46</v>
      </c>
      <c r="C93" s="60">
        <f t="shared" si="53"/>
        <v>0.21790157292837078</v>
      </c>
      <c r="D93" s="60">
        <f t="shared" si="54"/>
        <v>0.16934610756890325</v>
      </c>
      <c r="E93" s="60">
        <f t="shared" si="55"/>
        <v>0.14918792186262367</v>
      </c>
      <c r="F93" s="60">
        <f t="shared" si="56"/>
        <v>0.13431915520572493</v>
      </c>
    </row>
    <row r="94" spans="1:6">
      <c r="B94" s="61"/>
      <c r="C94" s="60"/>
      <c r="D94" s="60"/>
      <c r="E94" s="60"/>
      <c r="F94" s="60"/>
    </row>
    <row r="95" spans="1:6">
      <c r="A95" s="139" t="s">
        <v>7383</v>
      </c>
      <c r="B95" s="139">
        <v>1</v>
      </c>
      <c r="C95" s="60">
        <f>$L$4</f>
        <v>6.5000000000000002E-2</v>
      </c>
      <c r="D95" s="60">
        <f t="shared" ref="D95:F98" si="57">$L$4</f>
        <v>6.5000000000000002E-2</v>
      </c>
      <c r="E95" s="60">
        <f t="shared" si="57"/>
        <v>6.5000000000000002E-2</v>
      </c>
      <c r="F95" s="60">
        <f t="shared" si="57"/>
        <v>6.5000000000000002E-2</v>
      </c>
    </row>
    <row r="96" spans="1:6">
      <c r="A96" s="138">
        <f>B16</f>
        <v>1.6E-2</v>
      </c>
      <c r="B96" s="139">
        <v>1</v>
      </c>
      <c r="C96" s="60">
        <f t="shared" ref="C96:C98" si="58">$L$4</f>
        <v>6.5000000000000002E-2</v>
      </c>
      <c r="D96" s="60">
        <f t="shared" si="57"/>
        <v>6.5000000000000002E-2</v>
      </c>
      <c r="E96" s="60">
        <f t="shared" si="57"/>
        <v>6.5000000000000002E-2</v>
      </c>
      <c r="F96" s="60">
        <f t="shared" si="57"/>
        <v>6.5000000000000002E-2</v>
      </c>
    </row>
    <row r="97" spans="1:6">
      <c r="A97" s="138" t="s">
        <v>7615</v>
      </c>
      <c r="B97" s="139">
        <v>1</v>
      </c>
      <c r="C97" s="60">
        <f t="shared" si="58"/>
        <v>6.5000000000000002E-2</v>
      </c>
      <c r="D97" s="60">
        <f t="shared" si="57"/>
        <v>6.5000000000000002E-2</v>
      </c>
      <c r="E97" s="60">
        <f t="shared" si="57"/>
        <v>6.5000000000000002E-2</v>
      </c>
      <c r="F97" s="60">
        <f t="shared" si="57"/>
        <v>6.5000000000000002E-2</v>
      </c>
    </row>
    <row r="98" spans="1:6">
      <c r="B98" s="139">
        <v>1</v>
      </c>
      <c r="C98" s="60">
        <f t="shared" si="58"/>
        <v>6.5000000000000002E-2</v>
      </c>
      <c r="D98" s="60">
        <f t="shared" si="57"/>
        <v>6.5000000000000002E-2</v>
      </c>
      <c r="E98" s="60">
        <f t="shared" si="57"/>
        <v>6.5000000000000002E-2</v>
      </c>
      <c r="F98" s="60">
        <f t="shared" si="57"/>
        <v>6.5000000000000002E-2</v>
      </c>
    </row>
    <row r="99" spans="1:6">
      <c r="C99" s="60"/>
      <c r="D99" s="60"/>
      <c r="E99" s="60"/>
      <c r="F99" s="60"/>
    </row>
    <row r="100" spans="1:6">
      <c r="A100" s="139" t="s">
        <v>119</v>
      </c>
      <c r="B100" s="139">
        <v>1</v>
      </c>
      <c r="C100" s="60">
        <f>$L$6</f>
        <v>2.5000000000000001E-2</v>
      </c>
      <c r="D100" s="60">
        <f t="shared" ref="D100:F103" si="59">$L$6</f>
        <v>2.5000000000000001E-2</v>
      </c>
      <c r="E100" s="60">
        <f t="shared" si="59"/>
        <v>2.5000000000000001E-2</v>
      </c>
      <c r="F100" s="60">
        <f>$L$6</f>
        <v>2.5000000000000001E-2</v>
      </c>
    </row>
    <row r="101" spans="1:6">
      <c r="A101" s="138">
        <f>B17</f>
        <v>2.0250000000000001E-2</v>
      </c>
      <c r="B101" s="139">
        <v>1</v>
      </c>
      <c r="C101" s="60">
        <f t="shared" ref="C101:C103" si="60">$L$6</f>
        <v>2.5000000000000001E-2</v>
      </c>
      <c r="D101" s="60">
        <f t="shared" si="59"/>
        <v>2.5000000000000001E-2</v>
      </c>
      <c r="E101" s="60">
        <f t="shared" si="59"/>
        <v>2.5000000000000001E-2</v>
      </c>
      <c r="F101" s="60">
        <f t="shared" si="59"/>
        <v>2.5000000000000001E-2</v>
      </c>
    </row>
    <row r="102" spans="1:6">
      <c r="A102" s="139" t="s">
        <v>7616</v>
      </c>
      <c r="B102" s="139">
        <v>1</v>
      </c>
      <c r="C102" s="60">
        <f t="shared" si="60"/>
        <v>2.5000000000000001E-2</v>
      </c>
      <c r="D102" s="60">
        <f t="shared" si="59"/>
        <v>2.5000000000000001E-2</v>
      </c>
      <c r="E102" s="60">
        <f t="shared" si="59"/>
        <v>2.5000000000000001E-2</v>
      </c>
      <c r="F102" s="60">
        <f t="shared" si="59"/>
        <v>2.5000000000000001E-2</v>
      </c>
    </row>
    <row r="103" spans="1:6">
      <c r="B103" s="139">
        <v>1</v>
      </c>
      <c r="C103" s="60">
        <f t="shared" si="60"/>
        <v>2.5000000000000001E-2</v>
      </c>
      <c r="D103" s="60">
        <f t="shared" si="59"/>
        <v>2.5000000000000001E-2</v>
      </c>
      <c r="E103" s="60">
        <f t="shared" si="59"/>
        <v>2.5000000000000001E-2</v>
      </c>
      <c r="F103" s="60">
        <f t="shared" si="59"/>
        <v>2.5000000000000001E-2</v>
      </c>
    </row>
    <row r="104" spans="1:6">
      <c r="B104" s="61"/>
      <c r="C104" s="60"/>
      <c r="D104" s="60"/>
      <c r="E104" s="60"/>
      <c r="F104" s="60"/>
    </row>
    <row r="105" spans="1:6">
      <c r="A105" s="138" t="s">
        <v>7611</v>
      </c>
      <c r="B105" s="139">
        <v>1</v>
      </c>
      <c r="C105" s="60">
        <f>$L$8</f>
        <v>0.04</v>
      </c>
      <c r="D105" s="60">
        <f t="shared" ref="D105:F105" si="61">$L$8</f>
        <v>0.04</v>
      </c>
      <c r="E105" s="60">
        <f t="shared" si="61"/>
        <v>0.04</v>
      </c>
      <c r="F105" s="60">
        <f t="shared" si="61"/>
        <v>0.04</v>
      </c>
    </row>
    <row r="106" spans="1:6">
      <c r="A106" s="138">
        <f>B18</f>
        <v>1.6E-2</v>
      </c>
      <c r="B106" s="139">
        <v>1</v>
      </c>
      <c r="C106" s="60">
        <f t="shared" ref="C106:F108" si="62">$L$8</f>
        <v>0.04</v>
      </c>
      <c r="D106" s="60">
        <f t="shared" si="62"/>
        <v>0.04</v>
      </c>
      <c r="E106" s="60">
        <f t="shared" si="62"/>
        <v>0.04</v>
      </c>
      <c r="F106" s="60">
        <f t="shared" si="62"/>
        <v>0.04</v>
      </c>
    </row>
    <row r="107" spans="1:6">
      <c r="A107" s="139" t="s">
        <v>7617</v>
      </c>
      <c r="B107" s="139">
        <v>1</v>
      </c>
      <c r="C107" s="60">
        <f t="shared" si="62"/>
        <v>0.04</v>
      </c>
      <c r="D107" s="60">
        <f t="shared" si="62"/>
        <v>0.04</v>
      </c>
      <c r="E107" s="60">
        <f t="shared" si="62"/>
        <v>0.04</v>
      </c>
      <c r="F107" s="60">
        <f t="shared" si="62"/>
        <v>0.04</v>
      </c>
    </row>
    <row r="108" spans="1:6">
      <c r="B108" s="139">
        <v>1</v>
      </c>
      <c r="C108" s="60">
        <f t="shared" si="62"/>
        <v>0.04</v>
      </c>
      <c r="D108" s="60">
        <f t="shared" si="62"/>
        <v>0.04</v>
      </c>
      <c r="E108" s="60">
        <f t="shared" si="62"/>
        <v>0.04</v>
      </c>
      <c r="F108" s="60">
        <f t="shared" si="62"/>
        <v>0.04</v>
      </c>
    </row>
    <row r="109" spans="1:6">
      <c r="A109" s="138"/>
      <c r="B109" s="61"/>
      <c r="C109" s="60"/>
      <c r="D109" s="60"/>
      <c r="E109" s="60"/>
      <c r="F109" s="60"/>
    </row>
    <row r="110" spans="1:6">
      <c r="A110" s="139" t="s">
        <v>7533</v>
      </c>
      <c r="B110" s="139">
        <v>1</v>
      </c>
      <c r="C110" s="60">
        <f>$L$4</f>
        <v>6.5000000000000002E-2</v>
      </c>
      <c r="D110" s="60">
        <f t="shared" ref="D110:F113" si="63">$L$4</f>
        <v>6.5000000000000002E-2</v>
      </c>
      <c r="E110" s="60">
        <f t="shared" si="63"/>
        <v>6.5000000000000002E-2</v>
      </c>
      <c r="F110" s="60">
        <f t="shared" si="63"/>
        <v>6.5000000000000002E-2</v>
      </c>
    </row>
    <row r="111" spans="1:6">
      <c r="A111" s="138">
        <f>B19</f>
        <v>5.6000000000000001E-2</v>
      </c>
      <c r="B111" s="139">
        <v>1</v>
      </c>
      <c r="C111" s="60">
        <f t="shared" ref="C111:C113" si="64">$L$4</f>
        <v>6.5000000000000002E-2</v>
      </c>
      <c r="D111" s="60">
        <f t="shared" si="63"/>
        <v>6.5000000000000002E-2</v>
      </c>
      <c r="E111" s="60">
        <f t="shared" si="63"/>
        <v>6.5000000000000002E-2</v>
      </c>
      <c r="F111" s="60">
        <f t="shared" si="63"/>
        <v>6.5000000000000002E-2</v>
      </c>
    </row>
    <row r="112" spans="1:6">
      <c r="A112" s="139" t="s">
        <v>7615</v>
      </c>
      <c r="B112" s="139">
        <v>1</v>
      </c>
      <c r="C112" s="60">
        <f t="shared" si="64"/>
        <v>6.5000000000000002E-2</v>
      </c>
      <c r="D112" s="60">
        <f t="shared" si="63"/>
        <v>6.5000000000000002E-2</v>
      </c>
      <c r="E112" s="60">
        <f t="shared" si="63"/>
        <v>6.5000000000000002E-2</v>
      </c>
      <c r="F112" s="60">
        <f t="shared" si="63"/>
        <v>6.5000000000000002E-2</v>
      </c>
    </row>
    <row r="113" spans="1:6">
      <c r="A113" s="58"/>
      <c r="B113" s="139">
        <v>1</v>
      </c>
      <c r="C113" s="60">
        <f t="shared" si="64"/>
        <v>6.5000000000000002E-2</v>
      </c>
      <c r="D113" s="60">
        <f t="shared" si="63"/>
        <v>6.5000000000000002E-2</v>
      </c>
      <c r="E113" s="60">
        <f t="shared" si="63"/>
        <v>6.5000000000000002E-2</v>
      </c>
      <c r="F113" s="60">
        <f t="shared" si="63"/>
        <v>6.5000000000000002E-2</v>
      </c>
    </row>
    <row r="114" spans="1:6">
      <c r="A114" s="58"/>
      <c r="C114" s="60"/>
      <c r="D114" s="60"/>
      <c r="E114" s="60"/>
      <c r="F114" s="60"/>
    </row>
    <row r="115" spans="1:6">
      <c r="A115" s="139" t="s">
        <v>7535</v>
      </c>
      <c r="B115" s="139">
        <v>1</v>
      </c>
      <c r="C115" s="60">
        <f>$L$2</f>
        <v>3.5000000000000003E-2</v>
      </c>
      <c r="D115" s="60">
        <f t="shared" ref="D115:F115" si="65">$L$2</f>
        <v>3.5000000000000003E-2</v>
      </c>
      <c r="E115" s="60">
        <f t="shared" si="65"/>
        <v>3.5000000000000003E-2</v>
      </c>
      <c r="F115" s="60">
        <f t="shared" si="65"/>
        <v>3.5000000000000003E-2</v>
      </c>
    </row>
    <row r="116" spans="1:6">
      <c r="A116" s="60">
        <f>B20</f>
        <v>6.4313999999999994E-3</v>
      </c>
      <c r="B116" s="139">
        <v>1</v>
      </c>
      <c r="C116" s="60">
        <f t="shared" ref="C116:F118" si="66">$L$2</f>
        <v>3.5000000000000003E-2</v>
      </c>
      <c r="D116" s="60">
        <f t="shared" si="66"/>
        <v>3.5000000000000003E-2</v>
      </c>
      <c r="E116" s="60">
        <f t="shared" si="66"/>
        <v>3.5000000000000003E-2</v>
      </c>
      <c r="F116" s="60">
        <f t="shared" si="66"/>
        <v>3.5000000000000003E-2</v>
      </c>
    </row>
    <row r="117" spans="1:6">
      <c r="A117" s="58" t="s">
        <v>7618</v>
      </c>
      <c r="B117" s="139">
        <v>1</v>
      </c>
      <c r="C117" s="60">
        <f t="shared" si="66"/>
        <v>3.5000000000000003E-2</v>
      </c>
      <c r="D117" s="60">
        <f t="shared" si="66"/>
        <v>3.5000000000000003E-2</v>
      </c>
      <c r="E117" s="60">
        <f t="shared" si="66"/>
        <v>3.5000000000000003E-2</v>
      </c>
      <c r="F117" s="60">
        <f t="shared" si="66"/>
        <v>3.5000000000000003E-2</v>
      </c>
    </row>
    <row r="118" spans="1:6">
      <c r="A118" s="58"/>
      <c r="B118" s="139">
        <v>1</v>
      </c>
      <c r="C118" s="60">
        <f t="shared" si="66"/>
        <v>3.5000000000000003E-2</v>
      </c>
      <c r="D118" s="60">
        <f t="shared" si="66"/>
        <v>3.5000000000000003E-2</v>
      </c>
      <c r="E118" s="60">
        <f t="shared" si="66"/>
        <v>3.5000000000000003E-2</v>
      </c>
      <c r="F118" s="60">
        <f t="shared" si="66"/>
        <v>3.5000000000000003E-2</v>
      </c>
    </row>
    <row r="119" spans="1:6">
      <c r="C119" s="60"/>
      <c r="D119" s="60"/>
      <c r="E119" s="60"/>
      <c r="F119" s="60"/>
    </row>
    <row r="120" spans="1:6">
      <c r="A120" s="58" t="s">
        <v>7538</v>
      </c>
      <c r="B120" s="139">
        <v>1</v>
      </c>
      <c r="C120" s="60">
        <f>$L$2</f>
        <v>3.5000000000000003E-2</v>
      </c>
      <c r="D120" s="60">
        <f t="shared" ref="D120:F120" si="67">$L$2</f>
        <v>3.5000000000000003E-2</v>
      </c>
      <c r="E120" s="60">
        <f t="shared" si="67"/>
        <v>3.5000000000000003E-2</v>
      </c>
      <c r="F120" s="60">
        <f t="shared" si="67"/>
        <v>3.5000000000000003E-2</v>
      </c>
    </row>
    <row r="121" spans="1:6">
      <c r="A121" s="60">
        <f>B21</f>
        <v>0.14500599999999986</v>
      </c>
      <c r="B121" s="139">
        <v>1</v>
      </c>
      <c r="C121" s="60">
        <f t="shared" ref="C121:F123" si="68">$L$2</f>
        <v>3.5000000000000003E-2</v>
      </c>
      <c r="D121" s="60">
        <f t="shared" si="68"/>
        <v>3.5000000000000003E-2</v>
      </c>
      <c r="E121" s="60">
        <f t="shared" si="68"/>
        <v>3.5000000000000003E-2</v>
      </c>
      <c r="F121" s="60">
        <f t="shared" si="68"/>
        <v>3.5000000000000003E-2</v>
      </c>
    </row>
    <row r="122" spans="1:6">
      <c r="A122" s="58" t="s">
        <v>7619</v>
      </c>
      <c r="B122" s="139">
        <v>1</v>
      </c>
      <c r="C122" s="60">
        <f t="shared" si="68"/>
        <v>3.5000000000000003E-2</v>
      </c>
      <c r="D122" s="60">
        <f t="shared" si="68"/>
        <v>3.5000000000000003E-2</v>
      </c>
      <c r="E122" s="60">
        <f t="shared" si="68"/>
        <v>3.5000000000000003E-2</v>
      </c>
      <c r="F122" s="60">
        <f t="shared" si="68"/>
        <v>3.5000000000000003E-2</v>
      </c>
    </row>
    <row r="123" spans="1:6">
      <c r="A123" s="58"/>
      <c r="B123" s="139">
        <v>1</v>
      </c>
      <c r="C123" s="60">
        <f t="shared" si="68"/>
        <v>3.5000000000000003E-2</v>
      </c>
      <c r="D123" s="60">
        <f t="shared" si="68"/>
        <v>3.5000000000000003E-2</v>
      </c>
      <c r="E123" s="60">
        <f t="shared" si="68"/>
        <v>3.5000000000000003E-2</v>
      </c>
      <c r="F123" s="60">
        <f t="shared" si="68"/>
        <v>3.5000000000000003E-2</v>
      </c>
    </row>
  </sheetData>
  <phoneticPr fontId="3" type="noConversion"/>
  <conditionalFormatting sqref="J25:M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7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7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7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7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7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7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7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7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7401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7402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7403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7404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7405</v>
      </c>
      <c r="C329" t="s">
        <v>7406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7407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7408</v>
      </c>
      <c r="C597" t="s">
        <v>7409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7410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7411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7412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7413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7414</v>
      </c>
      <c r="C731" t="s">
        <v>7415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7416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7417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7418</v>
      </c>
      <c r="C992" t="s">
        <v>7419</v>
      </c>
      <c r="D992" t="s">
        <v>899</v>
      </c>
      <c r="E992" t="s">
        <v>225</v>
      </c>
    </row>
    <row r="993" spans="1:5">
      <c r="A993">
        <v>991</v>
      </c>
      <c r="B993" t="s">
        <v>7420</v>
      </c>
      <c r="C993" t="s">
        <v>7421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7422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7423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7424</v>
      </c>
      <c r="C1216" t="s">
        <v>7425</v>
      </c>
      <c r="D1216" t="s">
        <v>899</v>
      </c>
      <c r="E1216" t="s">
        <v>225</v>
      </c>
    </row>
    <row r="1217" spans="1:5">
      <c r="A1217">
        <v>1215</v>
      </c>
      <c r="B1217" t="s">
        <v>7426</v>
      </c>
      <c r="C1217" t="s">
        <v>7427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7428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7429</v>
      </c>
      <c r="C1432" t="s">
        <v>7430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7431</v>
      </c>
      <c r="C1443" t="s">
        <v>7432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7433</v>
      </c>
      <c r="C1465" t="s">
        <v>7434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7435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7436</v>
      </c>
      <c r="C1503" t="s">
        <v>7437</v>
      </c>
      <c r="D1503" t="s">
        <v>899</v>
      </c>
      <c r="E1503" t="s">
        <v>225</v>
      </c>
    </row>
    <row r="1504" spans="1:5">
      <c r="A1504">
        <v>1502</v>
      </c>
      <c r="B1504" t="s">
        <v>7438</v>
      </c>
      <c r="C1504" t="s">
        <v>7439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7440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7441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7442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7443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7423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7444</v>
      </c>
      <c r="C1919" t="s">
        <v>7445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7446</v>
      </c>
      <c r="C1929" t="s">
        <v>7447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7448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7449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7450</v>
      </c>
      <c r="C2112" t="s">
        <v>7451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7452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7453</v>
      </c>
      <c r="C2422" t="s">
        <v>7454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7455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7456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7457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7458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7459</v>
      </c>
      <c r="C2543" t="s">
        <v>7460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7461</v>
      </c>
      <c r="C2625" t="s">
        <v>7462</v>
      </c>
      <c r="D2625" t="s">
        <v>2643</v>
      </c>
      <c r="E2625" t="s">
        <v>228</v>
      </c>
    </row>
    <row r="2626" spans="1:5">
      <c r="A2626">
        <v>2624</v>
      </c>
      <c r="B2626" t="s">
        <v>7463</v>
      </c>
      <c r="C2626" t="s">
        <v>7464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7465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7466</v>
      </c>
      <c r="C2754" t="s">
        <v>7467</v>
      </c>
      <c r="D2754" t="s">
        <v>2913</v>
      </c>
      <c r="E2754" t="s">
        <v>3820</v>
      </c>
    </row>
    <row r="2755" spans="1:5">
      <c r="A2755">
        <v>2753</v>
      </c>
      <c r="B2755" t="s">
        <v>7468</v>
      </c>
      <c r="C2755" t="s">
        <v>7469</v>
      </c>
      <c r="D2755" t="s">
        <v>2913</v>
      </c>
      <c r="E2755" t="s">
        <v>3820</v>
      </c>
    </row>
    <row r="2756" spans="1:5">
      <c r="A2756">
        <v>2754</v>
      </c>
      <c r="B2756" t="s">
        <v>7470</v>
      </c>
      <c r="C2756" t="s">
        <v>7471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7472</v>
      </c>
      <c r="C2793" t="s">
        <v>7473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7474</v>
      </c>
      <c r="C2801" t="s">
        <v>7475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7476</v>
      </c>
      <c r="C2815" t="s">
        <v>7477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7478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7479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7480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7481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7482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7483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7484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7485</v>
      </c>
      <c r="C3260" t="s">
        <v>7486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7487</v>
      </c>
      <c r="C3285" t="s">
        <v>7488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7428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7489</v>
      </c>
      <c r="C3374" t="s">
        <v>7490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7491</v>
      </c>
      <c r="C3396" t="s">
        <v>7492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7493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7494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7483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7495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2019-03-25T13:42:25Z</dcterms:modified>
</cp:coreProperties>
</file>