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65" windowWidth="21600" windowHeight="13740" activeTab="3"/>
  </bookViews>
  <sheets>
    <sheet name="已投部分年化收益率" sheetId="1" r:id="rId1"/>
    <sheet name="ETF计划成本计算" sheetId="5" r:id="rId2"/>
    <sheet name="资产配置表" sheetId="4" r:id="rId3"/>
    <sheet name="压力测试" sheetId="7" r:id="rId4"/>
  </sheets>
  <definedNames>
    <definedName name="_xlnm._FilterDatabase" localSheetId="0" hidden="1">已投部分年化收益率!$A$1:$W$108</definedName>
  </definedName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7" l="1"/>
  <c r="P2" i="7"/>
  <c r="E4" i="7"/>
  <c r="O2" i="7"/>
  <c r="A3" i="7"/>
  <c r="B8" i="7"/>
  <c r="P3" i="7"/>
  <c r="E8" i="7"/>
  <c r="O3" i="7"/>
  <c r="A7" i="7"/>
  <c r="B12" i="7"/>
  <c r="P4" i="7"/>
  <c r="E12" i="7"/>
  <c r="O4" i="7"/>
  <c r="A11" i="7"/>
  <c r="B16" i="7"/>
  <c r="P5" i="7"/>
  <c r="E16" i="7"/>
  <c r="O5" i="7"/>
  <c r="A15" i="7"/>
  <c r="B20" i="7"/>
  <c r="P6" i="7"/>
  <c r="E20" i="7"/>
  <c r="O6" i="7"/>
  <c r="A19" i="7"/>
  <c r="B24" i="7"/>
  <c r="P7" i="7"/>
  <c r="E24" i="7"/>
  <c r="O7" i="7"/>
  <c r="A23" i="7"/>
  <c r="B28" i="7"/>
  <c r="P8" i="7"/>
  <c r="E28" i="7"/>
  <c r="O8" i="7"/>
  <c r="A27" i="7"/>
  <c r="B32" i="7"/>
  <c r="P9" i="7"/>
  <c r="E32" i="7"/>
  <c r="O9" i="7"/>
  <c r="A31" i="7"/>
  <c r="B36" i="7"/>
  <c r="P10" i="7"/>
  <c r="E36" i="7"/>
  <c r="O10" i="7"/>
  <c r="A35" i="7"/>
  <c r="B40" i="7"/>
  <c r="P11" i="7"/>
  <c r="E40" i="7"/>
  <c r="O11" i="7"/>
  <c r="A39" i="7"/>
  <c r="B44" i="7"/>
  <c r="P12" i="7"/>
  <c r="E44" i="7"/>
  <c r="O12" i="7"/>
  <c r="A43" i="7"/>
  <c r="O13" i="7"/>
  <c r="A47" i="7"/>
  <c r="K5" i="7"/>
  <c r="D4" i="7"/>
  <c r="D8" i="7"/>
  <c r="D12" i="7"/>
  <c r="D16" i="7"/>
  <c r="D20" i="7"/>
  <c r="D24" i="7"/>
  <c r="D28" i="7"/>
  <c r="D32" i="7"/>
  <c r="D36" i="7"/>
  <c r="D40" i="7"/>
  <c r="D44" i="7"/>
  <c r="J5" i="7"/>
  <c r="C4" i="7"/>
  <c r="C8" i="7"/>
  <c r="C12" i="7"/>
  <c r="C16" i="7"/>
  <c r="C20" i="7"/>
  <c r="C24" i="7"/>
  <c r="C28" i="7"/>
  <c r="C32" i="7"/>
  <c r="C36" i="7"/>
  <c r="C40" i="7"/>
  <c r="C44" i="7"/>
  <c r="I5" i="7"/>
  <c r="B3" i="7"/>
  <c r="E3" i="7"/>
  <c r="B7" i="7"/>
  <c r="E7" i="7"/>
  <c r="B11" i="7"/>
  <c r="E11" i="7"/>
  <c r="B15" i="7"/>
  <c r="E15" i="7"/>
  <c r="B19" i="7"/>
  <c r="E19" i="7"/>
  <c r="B23" i="7"/>
  <c r="E23" i="7"/>
  <c r="B27" i="7"/>
  <c r="E27" i="7"/>
  <c r="B31" i="7"/>
  <c r="E31" i="7"/>
  <c r="B35" i="7"/>
  <c r="E35" i="7"/>
  <c r="B39" i="7"/>
  <c r="E39" i="7"/>
  <c r="B43" i="7"/>
  <c r="E43" i="7"/>
  <c r="K4" i="7"/>
  <c r="D3" i="7"/>
  <c r="D7" i="7"/>
  <c r="D11" i="7"/>
  <c r="D15" i="7"/>
  <c r="D19" i="7"/>
  <c r="D23" i="7"/>
  <c r="D27" i="7"/>
  <c r="D31" i="7"/>
  <c r="D35" i="7"/>
  <c r="D39" i="7"/>
  <c r="D43" i="7"/>
  <c r="J4" i="7"/>
  <c r="C3" i="7"/>
  <c r="C7" i="7"/>
  <c r="C11" i="7"/>
  <c r="C15" i="7"/>
  <c r="C19" i="7"/>
  <c r="C23" i="7"/>
  <c r="C27" i="7"/>
  <c r="C31" i="7"/>
  <c r="C35" i="7"/>
  <c r="C39" i="7"/>
  <c r="C43" i="7"/>
  <c r="I4" i="7"/>
  <c r="B2" i="7"/>
  <c r="D2" i="7"/>
  <c r="B6" i="7"/>
  <c r="D6" i="7"/>
  <c r="B10" i="7"/>
  <c r="D10" i="7"/>
  <c r="B14" i="7"/>
  <c r="D14" i="7"/>
  <c r="B18" i="7"/>
  <c r="D18" i="7"/>
  <c r="B22" i="7"/>
  <c r="D22" i="7"/>
  <c r="B26" i="7"/>
  <c r="D26" i="7"/>
  <c r="B30" i="7"/>
  <c r="D30" i="7"/>
  <c r="B34" i="7"/>
  <c r="D34" i="7"/>
  <c r="B38" i="7"/>
  <c r="D38" i="7"/>
  <c r="B42" i="7"/>
  <c r="D42" i="7"/>
  <c r="J3" i="7"/>
  <c r="E2" i="7"/>
  <c r="E6" i="7"/>
  <c r="E10" i="7"/>
  <c r="E14" i="7"/>
  <c r="E18" i="7"/>
  <c r="E22" i="7"/>
  <c r="E26" i="7"/>
  <c r="E30" i="7"/>
  <c r="E34" i="7"/>
  <c r="E38" i="7"/>
  <c r="E42" i="7"/>
  <c r="K3" i="7"/>
  <c r="C2" i="7"/>
  <c r="C6" i="7"/>
  <c r="C10" i="7"/>
  <c r="C14" i="7"/>
  <c r="C18" i="7"/>
  <c r="C22" i="7"/>
  <c r="C26" i="7"/>
  <c r="C30" i="7"/>
  <c r="C34" i="7"/>
  <c r="C38" i="7"/>
  <c r="C42" i="7"/>
  <c r="I3" i="7"/>
  <c r="J38" i="4"/>
  <c r="H38" i="4"/>
  <c r="G38" i="4"/>
  <c r="J32" i="4"/>
  <c r="H32" i="4"/>
  <c r="G32" i="4"/>
  <c r="I37" i="4"/>
  <c r="D61" i="5"/>
  <c r="D63" i="5"/>
  <c r="H37" i="4"/>
  <c r="J37" i="4"/>
  <c r="C11" i="4"/>
  <c r="G37" i="4"/>
  <c r="X34" i="1"/>
  <c r="W34" i="1"/>
  <c r="V34" i="1"/>
  <c r="I86" i="1"/>
  <c r="K86" i="1"/>
  <c r="T34" i="1"/>
  <c r="H86" i="1"/>
  <c r="J86" i="1"/>
  <c r="I55" i="1"/>
  <c r="K55" i="1"/>
  <c r="H55" i="1"/>
  <c r="J55" i="1"/>
  <c r="H45" i="1"/>
  <c r="I45" i="1"/>
  <c r="T14" i="1"/>
  <c r="H60" i="1"/>
  <c r="D6" i="4"/>
  <c r="D5" i="4"/>
  <c r="D15" i="4"/>
  <c r="D8" i="4"/>
  <c r="D26" i="4"/>
  <c r="V18" i="1"/>
  <c r="I87" i="1"/>
  <c r="K87" i="1"/>
  <c r="T18" i="1"/>
  <c r="H87" i="1"/>
  <c r="J87" i="1"/>
  <c r="V21" i="1"/>
  <c r="I85" i="1"/>
  <c r="K85" i="1"/>
  <c r="T21" i="1"/>
  <c r="H85" i="1"/>
  <c r="J85" i="1"/>
  <c r="K84" i="1"/>
  <c r="J84" i="1"/>
  <c r="T31" i="1"/>
  <c r="H83" i="1"/>
  <c r="J83" i="1"/>
  <c r="V31" i="1"/>
  <c r="I83" i="1"/>
  <c r="K83" i="1"/>
  <c r="Q4" i="1"/>
  <c r="S4" i="1"/>
  <c r="Q5" i="1"/>
  <c r="S5" i="1"/>
  <c r="Q6" i="1"/>
  <c r="S6" i="1"/>
  <c r="U2" i="1"/>
  <c r="Q7" i="1"/>
  <c r="S46" i="1"/>
  <c r="T47" i="1"/>
  <c r="S47" i="1"/>
  <c r="T48" i="1"/>
  <c r="S48" i="1"/>
  <c r="T49" i="1"/>
  <c r="S49" i="1"/>
  <c r="T50" i="1"/>
  <c r="S50" i="1"/>
  <c r="T51" i="1"/>
  <c r="S51" i="1"/>
  <c r="T52" i="1"/>
  <c r="S52" i="1"/>
  <c r="T53" i="1"/>
  <c r="S53" i="1"/>
  <c r="T54" i="1"/>
  <c r="W57" i="1"/>
  <c r="R7" i="1"/>
  <c r="S7" i="1"/>
  <c r="S2" i="1"/>
  <c r="D11" i="4"/>
  <c r="D4" i="4"/>
  <c r="E23" i="5"/>
  <c r="R6" i="1"/>
  <c r="Y13" i="1"/>
  <c r="Y14" i="1"/>
  <c r="Y15" i="1"/>
  <c r="Y16" i="1"/>
  <c r="Y17" i="1"/>
  <c r="Y18" i="1"/>
  <c r="Y19" i="1"/>
  <c r="Y21" i="1"/>
  <c r="Y22" i="1"/>
  <c r="Y23" i="1"/>
  <c r="Y25" i="1"/>
  <c r="Y34" i="1"/>
  <c r="Y35" i="1"/>
  <c r="Y37" i="1"/>
  <c r="Y38" i="1"/>
  <c r="Y39" i="1"/>
  <c r="Y40" i="1"/>
  <c r="Y41" i="1"/>
  <c r="Y42" i="1"/>
  <c r="C26" i="4"/>
  <c r="C16" i="4"/>
  <c r="C17" i="4"/>
  <c r="G3" i="4"/>
  <c r="C23" i="4"/>
  <c r="C24" i="4"/>
  <c r="G5" i="4"/>
  <c r="G4" i="4"/>
  <c r="V25" i="1"/>
  <c r="I25" i="1"/>
  <c r="K25" i="1"/>
  <c r="I37" i="1"/>
  <c r="K37" i="1"/>
  <c r="I41" i="1"/>
  <c r="K41" i="1"/>
  <c r="I62" i="1"/>
  <c r="K62" i="1"/>
  <c r="K2" i="1"/>
  <c r="V20" i="1"/>
  <c r="I3" i="1"/>
  <c r="K3" i="1"/>
  <c r="V13" i="1"/>
  <c r="I4" i="1"/>
  <c r="K4" i="1"/>
  <c r="I5" i="1"/>
  <c r="K5" i="1"/>
  <c r="K6" i="1"/>
  <c r="I7" i="1"/>
  <c r="K7" i="1"/>
  <c r="I8" i="1"/>
  <c r="K8" i="1"/>
  <c r="K9" i="1"/>
  <c r="I10" i="1"/>
  <c r="K10" i="1"/>
  <c r="V19" i="1"/>
  <c r="I11" i="1"/>
  <c r="K11" i="1"/>
  <c r="V16" i="1"/>
  <c r="I12" i="1"/>
  <c r="K12" i="1"/>
  <c r="I13" i="1"/>
  <c r="K13" i="1"/>
  <c r="I14" i="1"/>
  <c r="K14" i="1"/>
  <c r="I15" i="1"/>
  <c r="K15" i="1"/>
  <c r="I16" i="1"/>
  <c r="K16" i="1"/>
  <c r="K17" i="1"/>
  <c r="I18" i="1"/>
  <c r="K18" i="1"/>
  <c r="K19" i="1"/>
  <c r="I20" i="1"/>
  <c r="K20" i="1"/>
  <c r="V24" i="1"/>
  <c r="I21" i="1"/>
  <c r="K21" i="1"/>
  <c r="I22" i="1"/>
  <c r="K22" i="1"/>
  <c r="I23" i="1"/>
  <c r="K23" i="1"/>
  <c r="I24" i="1"/>
  <c r="K24" i="1"/>
  <c r="I26" i="1"/>
  <c r="K26" i="1"/>
  <c r="I27" i="1"/>
  <c r="K27" i="1"/>
  <c r="I28" i="1"/>
  <c r="K28" i="1"/>
  <c r="I29" i="1"/>
  <c r="K29" i="1"/>
  <c r="I30" i="1"/>
  <c r="K30" i="1"/>
  <c r="V17" i="1"/>
  <c r="I31" i="1"/>
  <c r="K31" i="1"/>
  <c r="I32" i="1"/>
  <c r="K32" i="1"/>
  <c r="K33" i="1"/>
  <c r="I34" i="1"/>
  <c r="K34" i="1"/>
  <c r="V23" i="1"/>
  <c r="I35" i="1"/>
  <c r="K35" i="1"/>
  <c r="K36" i="1"/>
  <c r="I38" i="1"/>
  <c r="K38" i="1"/>
  <c r="K39" i="1"/>
  <c r="V22" i="1"/>
  <c r="I40" i="1"/>
  <c r="K40" i="1"/>
  <c r="I42" i="1"/>
  <c r="K42" i="1"/>
  <c r="K43" i="1"/>
  <c r="I44" i="1"/>
  <c r="K44" i="1"/>
  <c r="K45" i="1"/>
  <c r="I46" i="1"/>
  <c r="K46" i="1"/>
  <c r="V15" i="1"/>
  <c r="I47" i="1"/>
  <c r="K47" i="1"/>
  <c r="I48" i="1"/>
  <c r="K48" i="1"/>
  <c r="I49" i="1"/>
  <c r="K49" i="1"/>
  <c r="K50" i="1"/>
  <c r="I51" i="1"/>
  <c r="K51" i="1"/>
  <c r="I52" i="1"/>
  <c r="K52" i="1"/>
  <c r="I53" i="1"/>
  <c r="K53" i="1"/>
  <c r="I54" i="1"/>
  <c r="K54" i="1"/>
  <c r="I56" i="1"/>
  <c r="K56" i="1"/>
  <c r="I57" i="1"/>
  <c r="K57" i="1"/>
  <c r="I58" i="1"/>
  <c r="K58" i="1"/>
  <c r="K59" i="1"/>
  <c r="V14" i="1"/>
  <c r="I60" i="1"/>
  <c r="K60" i="1"/>
  <c r="K61" i="1"/>
  <c r="K63" i="1"/>
  <c r="I64" i="1"/>
  <c r="K64" i="1"/>
  <c r="I65" i="1"/>
  <c r="K65" i="1"/>
  <c r="I66" i="1"/>
  <c r="K66" i="1"/>
  <c r="I67" i="1"/>
  <c r="K67" i="1"/>
  <c r="I68" i="1"/>
  <c r="K68" i="1"/>
  <c r="I69" i="1"/>
  <c r="K69" i="1"/>
  <c r="K70" i="1"/>
  <c r="I71" i="1"/>
  <c r="K71" i="1"/>
  <c r="K72" i="1"/>
  <c r="I73" i="1"/>
  <c r="K73" i="1"/>
  <c r="I74" i="1"/>
  <c r="K74" i="1"/>
  <c r="I75" i="1"/>
  <c r="K75" i="1"/>
  <c r="I76" i="1"/>
  <c r="K76" i="1"/>
  <c r="I77" i="1"/>
  <c r="K77" i="1"/>
  <c r="I78" i="1"/>
  <c r="K78" i="1"/>
  <c r="I79" i="1"/>
  <c r="K79" i="1"/>
  <c r="I80" i="1"/>
  <c r="K80" i="1"/>
  <c r="I81" i="1"/>
  <c r="K81" i="1"/>
  <c r="I82" i="1"/>
  <c r="K82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T23" i="1"/>
  <c r="H35" i="1"/>
  <c r="T24" i="1"/>
  <c r="H21" i="1"/>
  <c r="H27" i="1"/>
  <c r="H34" i="1"/>
  <c r="H5" i="1"/>
  <c r="T19" i="1"/>
  <c r="T16" i="1"/>
  <c r="T13" i="1"/>
  <c r="T25" i="1"/>
  <c r="T17" i="1"/>
  <c r="T22" i="1"/>
  <c r="T15" i="1"/>
  <c r="T20" i="1"/>
  <c r="H3" i="1"/>
  <c r="H82" i="1"/>
  <c r="J82" i="1"/>
  <c r="H81" i="1"/>
  <c r="J81" i="1"/>
  <c r="H80" i="1"/>
  <c r="J80" i="1"/>
  <c r="H79" i="1"/>
  <c r="J79" i="1"/>
  <c r="H78" i="1"/>
  <c r="J78" i="1"/>
  <c r="H77" i="1"/>
  <c r="J77" i="1"/>
  <c r="H76" i="1"/>
  <c r="J76" i="1"/>
  <c r="H75" i="1"/>
  <c r="J75" i="1"/>
  <c r="H74" i="1"/>
  <c r="J74" i="1"/>
  <c r="H73" i="1"/>
  <c r="J73" i="1"/>
  <c r="J72" i="1"/>
  <c r="H71" i="1"/>
  <c r="J71" i="1"/>
  <c r="J70" i="1"/>
  <c r="H69" i="1"/>
  <c r="J69" i="1"/>
  <c r="H68" i="1"/>
  <c r="J68" i="1"/>
  <c r="H67" i="1"/>
  <c r="J67" i="1"/>
  <c r="H66" i="1"/>
  <c r="J66" i="1"/>
  <c r="H65" i="1"/>
  <c r="J65" i="1"/>
  <c r="H64" i="1"/>
  <c r="J64" i="1"/>
  <c r="J63" i="1"/>
  <c r="H62" i="1"/>
  <c r="J62" i="1"/>
  <c r="J61" i="1"/>
  <c r="J60" i="1"/>
  <c r="J59" i="1"/>
  <c r="H58" i="1"/>
  <c r="J58" i="1"/>
  <c r="H57" i="1"/>
  <c r="J57" i="1"/>
  <c r="H56" i="1"/>
  <c r="J56" i="1"/>
  <c r="H54" i="1"/>
  <c r="J54" i="1"/>
  <c r="H53" i="1"/>
  <c r="J53" i="1"/>
  <c r="H52" i="1"/>
  <c r="J52" i="1"/>
  <c r="H51" i="1"/>
  <c r="J51" i="1"/>
  <c r="J50" i="1"/>
  <c r="H49" i="1"/>
  <c r="J49" i="1"/>
  <c r="H48" i="1"/>
  <c r="J48" i="1"/>
  <c r="H47" i="1"/>
  <c r="J47" i="1"/>
  <c r="H46" i="1"/>
  <c r="J46" i="1"/>
  <c r="J45" i="1"/>
  <c r="H44" i="1"/>
  <c r="J44" i="1"/>
  <c r="J43" i="1"/>
  <c r="H42" i="1"/>
  <c r="J42" i="1"/>
  <c r="H41" i="1"/>
  <c r="J41" i="1"/>
  <c r="H40" i="1"/>
  <c r="J40" i="1"/>
  <c r="J39" i="1"/>
  <c r="H38" i="1"/>
  <c r="J38" i="1"/>
  <c r="H37" i="1"/>
  <c r="J37" i="1"/>
  <c r="J36" i="1"/>
  <c r="J35" i="1"/>
  <c r="J34" i="1"/>
  <c r="J33" i="1"/>
  <c r="H32" i="1"/>
  <c r="J32" i="1"/>
  <c r="H31" i="1"/>
  <c r="J31" i="1"/>
  <c r="H30" i="1"/>
  <c r="J30" i="1"/>
  <c r="H29" i="1"/>
  <c r="J29" i="1"/>
  <c r="H28" i="1"/>
  <c r="J28" i="1"/>
  <c r="J27" i="1"/>
  <c r="H26" i="1"/>
  <c r="J26" i="1"/>
  <c r="H25" i="1"/>
  <c r="J25" i="1"/>
  <c r="H24" i="1"/>
  <c r="J24" i="1"/>
  <c r="H23" i="1"/>
  <c r="J23" i="1"/>
  <c r="H22" i="1"/>
  <c r="J22" i="1"/>
  <c r="J21" i="1"/>
  <c r="H20" i="1"/>
  <c r="J20" i="1"/>
  <c r="J19" i="1"/>
  <c r="H18" i="1"/>
  <c r="J18" i="1"/>
  <c r="J17" i="1"/>
  <c r="H16" i="1"/>
  <c r="J16" i="1"/>
  <c r="H15" i="1"/>
  <c r="J15" i="1"/>
  <c r="H14" i="1"/>
  <c r="J14" i="1"/>
  <c r="H13" i="1"/>
  <c r="J13" i="1"/>
  <c r="H12" i="1"/>
  <c r="J12" i="1"/>
  <c r="H11" i="1"/>
  <c r="J11" i="1"/>
  <c r="H10" i="1"/>
  <c r="J10" i="1"/>
  <c r="J9" i="1"/>
  <c r="H8" i="1"/>
  <c r="J8" i="1"/>
  <c r="H7" i="1"/>
  <c r="J7" i="1"/>
  <c r="J6" i="1"/>
  <c r="J5" i="1"/>
  <c r="H4" i="1"/>
  <c r="J4" i="1"/>
  <c r="J3" i="1"/>
  <c r="J2" i="1"/>
  <c r="V26" i="1"/>
  <c r="V27" i="1"/>
  <c r="V28" i="1"/>
  <c r="V29" i="1"/>
  <c r="V30" i="1"/>
  <c r="V32" i="1"/>
  <c r="V33" i="1"/>
  <c r="D48" i="5"/>
  <c r="T32" i="1"/>
  <c r="D51" i="5"/>
  <c r="D53" i="5"/>
  <c r="T27" i="1"/>
  <c r="D8" i="5"/>
  <c r="T28" i="1"/>
  <c r="D11" i="5"/>
  <c r="T29" i="1"/>
  <c r="D14" i="5"/>
  <c r="T30" i="1"/>
  <c r="D17" i="5"/>
  <c r="D20" i="5"/>
  <c r="D33" i="5"/>
  <c r="D35" i="5"/>
  <c r="J91" i="1"/>
  <c r="J90" i="1"/>
  <c r="J88" i="1"/>
  <c r="J97" i="1"/>
  <c r="J95" i="1"/>
  <c r="J98" i="1"/>
  <c r="J100" i="1"/>
  <c r="J101" i="1"/>
  <c r="M102" i="1"/>
  <c r="J102" i="1"/>
  <c r="J103" i="1"/>
  <c r="J104" i="1"/>
  <c r="J105" i="1"/>
  <c r="M106" i="1"/>
  <c r="J106" i="1"/>
  <c r="J107" i="1"/>
  <c r="J108" i="1"/>
  <c r="W25" i="1"/>
  <c r="H36" i="4"/>
  <c r="J36" i="4"/>
  <c r="W23" i="1"/>
  <c r="H35" i="4"/>
  <c r="J35" i="4"/>
  <c r="W21" i="1"/>
  <c r="H34" i="4"/>
  <c r="J34" i="4"/>
  <c r="W19" i="1"/>
  <c r="H33" i="4"/>
  <c r="J33" i="4"/>
  <c r="W16" i="1"/>
  <c r="H30" i="4"/>
  <c r="J30" i="4"/>
  <c r="W17" i="1"/>
  <c r="H31" i="4"/>
  <c r="J31" i="4"/>
  <c r="W15" i="1"/>
  <c r="H29" i="4"/>
  <c r="J29" i="4"/>
  <c r="W13" i="1"/>
  <c r="H28" i="4"/>
  <c r="J28" i="4"/>
  <c r="W6" i="1"/>
  <c r="D21" i="4"/>
  <c r="D22" i="4"/>
  <c r="T33" i="1"/>
  <c r="D56" i="5"/>
  <c r="T26" i="1"/>
  <c r="D23" i="5"/>
  <c r="W24" i="1"/>
  <c r="W20" i="1"/>
  <c r="D23" i="4"/>
  <c r="D25" i="4"/>
  <c r="H5" i="4"/>
  <c r="S54" i="1"/>
  <c r="R47" i="1"/>
  <c r="R48" i="1"/>
  <c r="R49" i="1"/>
  <c r="R50" i="1"/>
  <c r="R51" i="1"/>
  <c r="R52" i="1"/>
  <c r="R53" i="1"/>
  <c r="R54" i="1"/>
  <c r="C6" i="4"/>
  <c r="G30" i="4"/>
  <c r="C5" i="4"/>
  <c r="G29" i="4"/>
  <c r="C3" i="4"/>
  <c r="G28" i="4"/>
  <c r="C4" i="4"/>
  <c r="E4" i="4"/>
  <c r="C8" i="4"/>
  <c r="E8" i="4"/>
  <c r="C9" i="4"/>
  <c r="D9" i="4"/>
  <c r="E9" i="4"/>
  <c r="C12" i="4"/>
  <c r="D12" i="4"/>
  <c r="E12" i="4"/>
  <c r="C22" i="4"/>
  <c r="E22" i="4"/>
  <c r="D3" i="4"/>
  <c r="E3" i="4"/>
  <c r="W14" i="1"/>
  <c r="W18" i="1"/>
  <c r="W22" i="1"/>
  <c r="C20" i="4"/>
  <c r="C15" i="4"/>
  <c r="C14" i="4"/>
  <c r="C13" i="4"/>
  <c r="C10" i="4"/>
  <c r="C7" i="4"/>
  <c r="N126" i="1"/>
  <c r="D58" i="5"/>
  <c r="I36" i="4"/>
  <c r="D38" i="5"/>
  <c r="D40" i="5"/>
  <c r="I35" i="4"/>
  <c r="I34" i="4"/>
  <c r="D28" i="5"/>
  <c r="D30" i="5"/>
  <c r="I33" i="4"/>
  <c r="I30" i="4"/>
  <c r="I29" i="4"/>
  <c r="D3" i="5"/>
  <c r="E3" i="5"/>
  <c r="D5" i="5"/>
  <c r="I28" i="4"/>
  <c r="G36" i="4"/>
  <c r="G35" i="4"/>
  <c r="G34" i="4"/>
  <c r="G33" i="4"/>
  <c r="G31" i="4"/>
  <c r="D13" i="4"/>
  <c r="D19" i="4"/>
  <c r="D16" i="4"/>
  <c r="T36" i="1"/>
  <c r="D43" i="5"/>
  <c r="T7" i="1"/>
  <c r="T4" i="1"/>
  <c r="N74" i="1"/>
  <c r="D45" i="5"/>
  <c r="D25" i="5"/>
  <c r="D17" i="4"/>
  <c r="D18" i="4"/>
  <c r="H3" i="4"/>
  <c r="H4" i="4"/>
  <c r="T6" i="1"/>
  <c r="T5" i="1"/>
  <c r="D14" i="4"/>
  <c r="D10" i="4"/>
  <c r="N36" i="1"/>
  <c r="N3" i="1"/>
</calcChain>
</file>

<file path=xl/comments1.xml><?xml version="1.0" encoding="utf-8"?>
<comments xmlns="http://schemas.openxmlformats.org/spreadsheetml/2006/main">
  <authors>
    <author>lishuyun</author>
    <author>Microsoft Office 用户</author>
  </authors>
  <commentList>
    <comment ref="J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K1" authorId="0">
      <text>
        <r>
          <rPr>
            <sz val="9"/>
            <color indexed="81"/>
            <rFont val="宋体"/>
            <family val="3"/>
            <charset val="134"/>
          </rPr>
          <t xml:space="preserve">份额价值，即某 PB 或 PE 乘以当时买入的金额。用于计算持仓平均 PB 和 PE
</t>
        </r>
      </text>
    </comment>
    <comment ref="R7" authorId="1">
      <text>
        <r>
          <rPr>
            <b/>
            <sz val="11"/>
            <color indexed="81"/>
            <rFont val="ＭＳ Ｐゴシック"/>
            <charset val="128"/>
          </rPr>
          <t>粗略计算
从 2018.1.1 开始算起
利率记做年化 3.5%
每月计息并减去权益类投入</t>
        </r>
      </text>
    </comment>
    <comment ref="R12" authorId="1">
      <text>
        <r>
          <rPr>
            <b/>
            <sz val="11"/>
            <color indexed="81"/>
            <rFont val="ＭＳ Ｐゴシック"/>
            <charset val="128"/>
          </rPr>
          <t>为了方便，场内通常使用单位净值，场外使用累计净值。</t>
        </r>
      </text>
    </comment>
    <comment ref="S12" authorId="0">
      <text>
        <r>
          <rPr>
            <sz val="9"/>
            <color indexed="81"/>
            <rFont val="宋体"/>
            <family val="3"/>
            <charset val="134"/>
          </rPr>
          <t xml:space="preserve">每次更新且慢估值，即可自动向前折算持仓 PE 或 PB
</t>
        </r>
      </text>
    </comment>
    <comment ref="P13" authorId="1">
      <text>
        <r>
          <rPr>
            <b/>
            <sz val="11"/>
            <color indexed="81"/>
            <rFont val="ＭＳ Ｐゴシック"/>
            <charset val="128"/>
          </rPr>
          <t>单位、累计净值不同</t>
        </r>
      </text>
    </comment>
  </commentList>
</comments>
</file>

<file path=xl/comments2.xml><?xml version="1.0" encoding="utf-8"?>
<comments xmlns="http://schemas.openxmlformats.org/spreadsheetml/2006/main">
  <authors>
    <author>lishuyun</author>
  </authors>
  <commentList>
    <comment ref="Q11" authorId="0">
      <text>
        <r>
          <rPr>
            <b/>
            <sz val="9"/>
            <color indexed="81"/>
            <rFont val="宋体"/>
            <family val="3"/>
            <charset val="134"/>
          </rPr>
          <t>聚宽自己算</t>
        </r>
      </text>
    </comment>
  </commentList>
</comments>
</file>

<file path=xl/sharedStrings.xml><?xml version="1.0" encoding="utf-8"?>
<sst xmlns="http://schemas.openxmlformats.org/spreadsheetml/2006/main" count="603" uniqueCount="245">
  <si>
    <t>日期</t>
    <phoneticPr fontId="3" type="noConversion"/>
  </si>
  <si>
    <t>品种</t>
    <phoneticPr fontId="3" type="noConversion"/>
  </si>
  <si>
    <t>广发医药卫生联接A</t>
  </si>
  <si>
    <t>华安德国30(DAX)联接</t>
  </si>
  <si>
    <t>富国中证红利指数增强</t>
  </si>
  <si>
    <t>广发养老指数A</t>
  </si>
  <si>
    <t>7-10年国开债指数A</t>
    <phoneticPr fontId="3" type="noConversion"/>
  </si>
  <si>
    <t>华夏海外收益债券A</t>
  </si>
  <si>
    <t>操作</t>
    <phoneticPr fontId="3" type="noConversion"/>
  </si>
  <si>
    <t>账户</t>
    <phoneticPr fontId="3" type="noConversion"/>
  </si>
  <si>
    <t>天天基金</t>
    <phoneticPr fontId="3" type="noConversion"/>
  </si>
  <si>
    <t>买入</t>
    <phoneticPr fontId="3" type="noConversion"/>
  </si>
  <si>
    <t>卖出</t>
    <phoneticPr fontId="3" type="noConversion"/>
  </si>
  <si>
    <t>账户资金</t>
    <phoneticPr fontId="3" type="noConversion"/>
  </si>
  <si>
    <t>支付宝</t>
    <phoneticPr fontId="3" type="noConversion"/>
  </si>
  <si>
    <t>广发中证环保产业A</t>
    <phoneticPr fontId="3" type="noConversion"/>
  </si>
  <si>
    <t>支付宝</t>
    <phoneticPr fontId="3" type="noConversion"/>
  </si>
  <si>
    <t>广发医药</t>
  </si>
  <si>
    <t>500ETF</t>
  </si>
  <si>
    <t>1000ETF</t>
  </si>
  <si>
    <t>环保ETF</t>
  </si>
  <si>
    <t>黄金ETF</t>
  </si>
  <si>
    <t>证券ETF</t>
  </si>
  <si>
    <t>传媒ETF</t>
  </si>
  <si>
    <t>股票账户</t>
    <phoneticPr fontId="3" type="noConversion"/>
  </si>
  <si>
    <t>股票账户</t>
    <phoneticPr fontId="3" type="noConversion"/>
  </si>
  <si>
    <t>已投部分年化</t>
    <phoneticPr fontId="3" type="noConversion"/>
  </si>
  <si>
    <t>公式：=XIRR($E2:$E38,$A2:$A38)</t>
    <phoneticPr fontId="3" type="noConversion"/>
  </si>
  <si>
    <t>投入是负数，卖出是正数</t>
    <phoneticPr fontId="3" type="noConversion"/>
  </si>
  <si>
    <t>手续费</t>
    <phoneticPr fontId="3" type="noConversion"/>
  </si>
  <si>
    <t>金额(含手续费）</t>
    <phoneticPr fontId="3" type="noConversion"/>
  </si>
  <si>
    <t>兴全可转债混合</t>
    <phoneticPr fontId="3" type="noConversion"/>
  </si>
  <si>
    <t>广发中证全指金融地产联接A</t>
    <phoneticPr fontId="3" type="noConversion"/>
  </si>
  <si>
    <t>海外收益债</t>
    <phoneticPr fontId="3" type="noConversion"/>
  </si>
  <si>
    <t>7-10年国开债</t>
    <phoneticPr fontId="3" type="noConversion"/>
  </si>
  <si>
    <t>兴全可转债</t>
    <phoneticPr fontId="3" type="noConversion"/>
  </si>
  <si>
    <t>德国30</t>
    <phoneticPr fontId="3" type="noConversion"/>
  </si>
  <si>
    <t>中证环保</t>
    <phoneticPr fontId="3" type="noConversion"/>
  </si>
  <si>
    <t>总占比</t>
    <phoneticPr fontId="3" type="noConversion"/>
  </si>
  <si>
    <t>黄金</t>
    <phoneticPr fontId="3" type="noConversion"/>
  </si>
  <si>
    <t>300ETF</t>
    <phoneticPr fontId="3" type="noConversion"/>
  </si>
  <si>
    <t>创业板</t>
    <rPh sb="0" eb="1">
      <t>chuang'ye'b</t>
    </rPh>
    <phoneticPr fontId="3" type="noConversion"/>
  </si>
  <si>
    <t>300ETF</t>
    <phoneticPr fontId="3" type="noConversion"/>
  </si>
  <si>
    <t>ETF计划</t>
    <rPh sb="3" eb="4">
      <t>ji'h</t>
    </rPh>
    <phoneticPr fontId="3" type="noConversion"/>
  </si>
  <si>
    <t>50ETF</t>
    <phoneticPr fontId="3" type="noConversion"/>
  </si>
  <si>
    <t>买入</t>
    <phoneticPr fontId="3" type="noConversion"/>
  </si>
  <si>
    <t>50ETF</t>
    <phoneticPr fontId="3" type="noConversion"/>
  </si>
  <si>
    <t>份额</t>
    <phoneticPr fontId="3" type="noConversion"/>
  </si>
  <si>
    <t>已投市值</t>
    <phoneticPr fontId="3" type="noConversion"/>
  </si>
  <si>
    <t>最新市值</t>
    <phoneticPr fontId="3" type="noConversion"/>
  </si>
  <si>
    <t>盈亏比例</t>
    <phoneticPr fontId="3" type="noConversion"/>
  </si>
  <si>
    <t>分红</t>
    <phoneticPr fontId="3" type="noConversion"/>
  </si>
  <si>
    <t>总资金</t>
    <phoneticPr fontId="3" type="noConversion"/>
  </si>
  <si>
    <t>折算率</t>
    <phoneticPr fontId="3" type="noConversion"/>
  </si>
  <si>
    <t>基金名称</t>
    <phoneticPr fontId="3" type="noConversion"/>
  </si>
  <si>
    <t>估值日期</t>
    <phoneticPr fontId="3" type="noConversion"/>
  </si>
  <si>
    <t>证券ETF</t>
    <phoneticPr fontId="3" type="noConversion"/>
  </si>
  <si>
    <t>传媒ETF</t>
    <phoneticPr fontId="3" type="noConversion"/>
  </si>
  <si>
    <t>红利场外</t>
    <phoneticPr fontId="3" type="noConversion"/>
  </si>
  <si>
    <t>金融场外</t>
    <phoneticPr fontId="3" type="noConversion"/>
  </si>
  <si>
    <t>养老场外</t>
    <phoneticPr fontId="3" type="noConversion"/>
  </si>
  <si>
    <t>基金累计净值</t>
    <phoneticPr fontId="3" type="noConversion"/>
  </si>
  <si>
    <t>累计净值</t>
    <phoneticPr fontId="3" type="noConversion"/>
  </si>
  <si>
    <t>单位净值</t>
    <phoneticPr fontId="3" type="noConversion"/>
  </si>
  <si>
    <t>市值比例</t>
    <phoneticPr fontId="3" type="noConversion"/>
  </si>
  <si>
    <t>纸白银</t>
    <phoneticPr fontId="3" type="noConversion"/>
  </si>
  <si>
    <t>现金</t>
    <phoneticPr fontId="3" type="noConversion"/>
  </si>
  <si>
    <t>白银</t>
    <phoneticPr fontId="3" type="noConversion"/>
  </si>
  <si>
    <t>医药卫生</t>
    <phoneticPr fontId="3" type="noConversion"/>
  </si>
  <si>
    <t>广发纯债</t>
    <phoneticPr fontId="3" type="noConversion"/>
  </si>
  <si>
    <t>博时信用债</t>
    <phoneticPr fontId="3" type="noConversion"/>
  </si>
  <si>
    <t>恒生</t>
    <phoneticPr fontId="3" type="noConversion"/>
  </si>
  <si>
    <t>石油</t>
    <phoneticPr fontId="3" type="noConversion"/>
  </si>
  <si>
    <t>商品贵金属</t>
    <phoneticPr fontId="3" type="noConversion"/>
  </si>
  <si>
    <t>权益类资产</t>
    <phoneticPr fontId="3" type="noConversion"/>
  </si>
  <si>
    <t>低风险理财</t>
    <phoneticPr fontId="3" type="noConversion"/>
  </si>
  <si>
    <t>资产配置</t>
    <phoneticPr fontId="3" type="noConversion"/>
  </si>
  <si>
    <t>中证红利</t>
    <phoneticPr fontId="3" type="noConversion"/>
  </si>
  <si>
    <t>中证500</t>
    <phoneticPr fontId="3" type="noConversion"/>
  </si>
  <si>
    <t>中证1000</t>
    <phoneticPr fontId="3" type="noConversion"/>
  </si>
  <si>
    <t>全指医药</t>
    <phoneticPr fontId="3" type="noConversion"/>
  </si>
  <si>
    <t>养老产业</t>
    <phoneticPr fontId="3" type="noConversion"/>
  </si>
  <si>
    <t>中证环保</t>
    <phoneticPr fontId="3" type="noConversion"/>
  </si>
  <si>
    <t>中证传媒</t>
    <phoneticPr fontId="3" type="noConversion"/>
  </si>
  <si>
    <t>沪深300</t>
    <phoneticPr fontId="3" type="noConversion"/>
  </si>
  <si>
    <t>折算率</t>
    <phoneticPr fontId="3" type="noConversion"/>
  </si>
  <si>
    <t>名称</t>
    <phoneticPr fontId="3" type="noConversion"/>
  </si>
  <si>
    <t>中证红利</t>
    <phoneticPr fontId="3" type="noConversion"/>
  </si>
  <si>
    <t>代码</t>
    <phoneticPr fontId="3" type="noConversion"/>
  </si>
  <si>
    <t>均价</t>
    <phoneticPr fontId="3" type="noConversion"/>
  </si>
  <si>
    <t>持仓 PE</t>
    <phoneticPr fontId="3" type="noConversion"/>
  </si>
  <si>
    <t>中证500</t>
    <phoneticPr fontId="3" type="noConversion"/>
  </si>
  <si>
    <t>000478</t>
    <phoneticPr fontId="3" type="noConversion"/>
  </si>
  <si>
    <t>161017</t>
    <phoneticPr fontId="3" type="noConversion"/>
  </si>
  <si>
    <t>001052</t>
    <phoneticPr fontId="3" type="noConversion"/>
  </si>
  <si>
    <t>002903</t>
    <phoneticPr fontId="3" type="noConversion"/>
  </si>
  <si>
    <t>折算率</t>
    <phoneticPr fontId="3" type="noConversion"/>
  </si>
  <si>
    <t>持仓 PE</t>
    <phoneticPr fontId="3" type="noConversion"/>
  </si>
  <si>
    <t>上证50</t>
    <phoneticPr fontId="3" type="noConversion"/>
  </si>
  <si>
    <t>001051</t>
    <phoneticPr fontId="3" type="noConversion"/>
  </si>
  <si>
    <t>001180</t>
    <phoneticPr fontId="3" type="noConversion"/>
  </si>
  <si>
    <t>估值</t>
    <phoneticPr fontId="3" type="noConversion"/>
  </si>
  <si>
    <t>权益类资产</t>
    <phoneticPr fontId="3" type="noConversion"/>
  </si>
  <si>
    <t>ETF计划估值</t>
    <phoneticPr fontId="3" type="noConversion"/>
  </si>
  <si>
    <t>养老产品</t>
    <phoneticPr fontId="3" type="noConversion"/>
  </si>
  <si>
    <t>000968</t>
    <phoneticPr fontId="3" type="noConversion"/>
  </si>
  <si>
    <t>001064</t>
    <phoneticPr fontId="3" type="noConversion"/>
  </si>
  <si>
    <t>000071</t>
    <phoneticPr fontId="3" type="noConversion"/>
  </si>
  <si>
    <t>工商银行</t>
    <phoneticPr fontId="3" type="noConversion"/>
  </si>
  <si>
    <t>沪深300</t>
    <phoneticPr fontId="3" type="noConversion"/>
  </si>
  <si>
    <t>100038</t>
    <phoneticPr fontId="3" type="noConversion"/>
  </si>
  <si>
    <t>000051</t>
    <phoneticPr fontId="3" type="noConversion"/>
  </si>
  <si>
    <t>中证传媒</t>
    <phoneticPr fontId="3" type="noConversion"/>
  </si>
  <si>
    <t>004752</t>
    <phoneticPr fontId="3" type="noConversion"/>
  </si>
  <si>
    <t>补</t>
    <phoneticPr fontId="3" type="noConversion"/>
  </si>
  <si>
    <t>NA</t>
    <phoneticPr fontId="3" type="noConversion"/>
  </si>
  <si>
    <t>康力泉</t>
    <phoneticPr fontId="3" type="noConversion"/>
  </si>
  <si>
    <t>ETF计划</t>
    <phoneticPr fontId="3" type="noConversion"/>
  </si>
  <si>
    <t>账面盈亏</t>
    <rPh sb="0" eb="1">
      <t>zhang'mian</t>
    </rPh>
    <rPh sb="2" eb="3">
      <t>ying'kui</t>
    </rPh>
    <phoneticPr fontId="3" type="noConversion"/>
  </si>
  <si>
    <t>货币基金</t>
    <rPh sb="0" eb="1">
      <t>huo'bi'j'j</t>
    </rPh>
    <phoneticPr fontId="3" type="noConversion"/>
  </si>
  <si>
    <t>德国30</t>
    <rPh sb="0" eb="1">
      <t>de'guo</t>
    </rPh>
    <phoneticPr fontId="3" type="noConversion"/>
  </si>
  <si>
    <t>大类目</t>
    <rPh sb="0" eb="1">
      <t>da'lei</t>
    </rPh>
    <rPh sb="2" eb="3">
      <t>mu</t>
    </rPh>
    <phoneticPr fontId="3" type="noConversion"/>
  </si>
  <si>
    <t>医药</t>
    <rPh sb="0" eb="1">
      <t>yi'yao</t>
    </rPh>
    <phoneticPr fontId="3" type="noConversion"/>
  </si>
  <si>
    <t>红利</t>
    <rPh sb="0" eb="1">
      <t>hong'li</t>
    </rPh>
    <phoneticPr fontId="3" type="noConversion"/>
  </si>
  <si>
    <t>养老</t>
    <rPh sb="0" eb="1">
      <t>yang'lao</t>
    </rPh>
    <phoneticPr fontId="3" type="noConversion"/>
  </si>
  <si>
    <t>国债</t>
    <rPh sb="0" eb="1">
      <t>guo'z</t>
    </rPh>
    <phoneticPr fontId="3" type="noConversion"/>
  </si>
  <si>
    <t>医药</t>
    <rPh sb="0" eb="1">
      <t>yi'y</t>
    </rPh>
    <phoneticPr fontId="3" type="noConversion"/>
  </si>
  <si>
    <t>养老</t>
    <rPh sb="0" eb="1">
      <t>yang'l</t>
    </rPh>
    <phoneticPr fontId="3" type="noConversion"/>
  </si>
  <si>
    <t>500ETF</t>
    <phoneticPr fontId="3" type="noConversion"/>
  </si>
  <si>
    <t>500ETF</t>
    <phoneticPr fontId="3" type="noConversion"/>
  </si>
  <si>
    <t>红利</t>
    <rPh sb="0" eb="1">
      <t>h'l</t>
    </rPh>
    <phoneticPr fontId="3" type="noConversion"/>
  </si>
  <si>
    <t>国债</t>
    <rPh sb="0" eb="1">
      <t>g'z</t>
    </rPh>
    <phoneticPr fontId="3" type="noConversion"/>
  </si>
  <si>
    <t>500ETF</t>
    <phoneticPr fontId="3" type="noConversion"/>
  </si>
  <si>
    <t>环保</t>
    <rPh sb="0" eb="1">
      <t>huan'bao</t>
    </rPh>
    <phoneticPr fontId="3" type="noConversion"/>
  </si>
  <si>
    <t>500ETF</t>
    <phoneticPr fontId="3" type="noConversion"/>
  </si>
  <si>
    <t>500ETF</t>
    <phoneticPr fontId="3" type="noConversion"/>
  </si>
  <si>
    <t>传媒</t>
    <rPh sb="0" eb="1">
      <t>chuan'mei</t>
    </rPh>
    <phoneticPr fontId="3" type="noConversion"/>
  </si>
  <si>
    <t>500ETF</t>
    <phoneticPr fontId="3" type="noConversion"/>
  </si>
  <si>
    <t>环保</t>
    <rPh sb="0" eb="1">
      <t>huan'b</t>
    </rPh>
    <phoneticPr fontId="3" type="noConversion"/>
  </si>
  <si>
    <t>1000ETF</t>
    <phoneticPr fontId="3" type="noConversion"/>
  </si>
  <si>
    <t>1000ETF</t>
    <phoneticPr fontId="3" type="noConversion"/>
  </si>
  <si>
    <t>环保</t>
    <rPh sb="0" eb="1">
      <t>h'b</t>
    </rPh>
    <phoneticPr fontId="3" type="noConversion"/>
  </si>
  <si>
    <t>海外债</t>
    <rPh sb="0" eb="1">
      <t>hai'wai'z</t>
    </rPh>
    <phoneticPr fontId="3" type="noConversion"/>
  </si>
  <si>
    <t>传媒</t>
    <rPh sb="0" eb="1">
      <t>c'm</t>
    </rPh>
    <phoneticPr fontId="3" type="noConversion"/>
  </si>
  <si>
    <t>黄金</t>
    <rPh sb="0" eb="1">
      <t>huang'j</t>
    </rPh>
    <phoneticPr fontId="3" type="noConversion"/>
  </si>
  <si>
    <t>证券</t>
    <rPh sb="0" eb="1">
      <t>zheng'quan</t>
    </rPh>
    <phoneticPr fontId="3" type="noConversion"/>
  </si>
  <si>
    <t>可转债</t>
    <rPh sb="0" eb="1">
      <t>ke'z'z</t>
    </rPh>
    <phoneticPr fontId="3" type="noConversion"/>
  </si>
  <si>
    <t>金融地产</t>
    <rPh sb="0" eb="1">
      <t>j'r'd'c</t>
    </rPh>
    <phoneticPr fontId="3" type="noConversion"/>
  </si>
  <si>
    <t>300ETF</t>
    <phoneticPr fontId="3" type="noConversion"/>
  </si>
  <si>
    <t>300ETF</t>
    <phoneticPr fontId="3" type="noConversion"/>
  </si>
  <si>
    <t>证券</t>
    <rPh sb="0" eb="1">
      <t>z'q</t>
    </rPh>
    <phoneticPr fontId="3" type="noConversion"/>
  </si>
  <si>
    <t>养老</t>
    <rPh sb="0" eb="1">
      <t>y'l</t>
    </rPh>
    <phoneticPr fontId="3" type="noConversion"/>
  </si>
  <si>
    <t>50ETF</t>
    <phoneticPr fontId="3" type="noConversion"/>
  </si>
  <si>
    <t>白银</t>
    <rPh sb="0" eb="1">
      <t>bai'y</t>
    </rPh>
    <phoneticPr fontId="3" type="noConversion"/>
  </si>
  <si>
    <t>1000ETF</t>
    <phoneticPr fontId="3" type="noConversion"/>
  </si>
  <si>
    <t>500ETF</t>
    <phoneticPr fontId="3" type="noConversion"/>
  </si>
  <si>
    <t>1000ETF</t>
    <phoneticPr fontId="3" type="noConversion"/>
  </si>
  <si>
    <t>500ETF</t>
    <phoneticPr fontId="3" type="noConversion"/>
  </si>
  <si>
    <t>300ETF</t>
    <phoneticPr fontId="3" type="noConversion"/>
  </si>
  <si>
    <t>海外债</t>
    <rPh sb="0" eb="1">
      <t>hai'w'z</t>
    </rPh>
    <phoneticPr fontId="3" type="noConversion"/>
  </si>
  <si>
    <t>注意：黄色填充区为需要人工补足数据的区域，其他为自动计算</t>
    <rPh sb="0" eb="1">
      <t>zhu'yi</t>
    </rPh>
    <rPh sb="3" eb="4">
      <t>huang'se</t>
    </rPh>
    <rPh sb="5" eb="6">
      <t>tian'chong'qu</t>
    </rPh>
    <rPh sb="7" eb="8">
      <t>qu</t>
    </rPh>
    <rPh sb="8" eb="9">
      <t>wei</t>
    </rPh>
    <rPh sb="9" eb="10">
      <t>xu'y</t>
    </rPh>
    <rPh sb="11" eb="12">
      <t>ren'gong</t>
    </rPh>
    <rPh sb="13" eb="14">
      <t>bu'zu</t>
    </rPh>
    <rPh sb="15" eb="16">
      <t>shu'ju</t>
    </rPh>
    <rPh sb="17" eb="18">
      <t>d</t>
    </rPh>
    <rPh sb="18" eb="19">
      <t>qu'y</t>
    </rPh>
    <rPh sb="21" eb="22">
      <t>qi't</t>
    </rPh>
    <rPh sb="23" eb="24">
      <t>wei</t>
    </rPh>
    <rPh sb="24" eb="25">
      <t>zi'dong</t>
    </rPh>
    <rPh sb="26" eb="27">
      <t>ji's</t>
    </rPh>
    <phoneticPr fontId="3" type="noConversion"/>
  </si>
  <si>
    <t>已投权益类</t>
    <rPh sb="0" eb="1">
      <t>yi'tou</t>
    </rPh>
    <rPh sb="2" eb="3">
      <t>quan'y'l</t>
    </rPh>
    <phoneticPr fontId="3" type="noConversion"/>
  </si>
  <si>
    <t>现金剩余</t>
    <rPh sb="0" eb="1">
      <t>xian'jin</t>
    </rPh>
    <rPh sb="2" eb="3">
      <t>sheng'yu</t>
    </rPh>
    <phoneticPr fontId="3" type="noConversion"/>
  </si>
  <si>
    <t>本月投入</t>
    <rPh sb="0" eb="1">
      <t>ben'qi</t>
    </rPh>
    <rPh sb="1" eb="2">
      <t>yue</t>
    </rPh>
    <rPh sb="2" eb="3">
      <t>tou'r</t>
    </rPh>
    <phoneticPr fontId="3" type="noConversion"/>
  </si>
  <si>
    <t>货币基金上月收益</t>
    <rPh sb="0" eb="1">
      <t>huo'bi'j'j</t>
    </rPh>
    <rPh sb="4" eb="5">
      <t>shang'yeu</t>
    </rPh>
    <rPh sb="6" eb="7">
      <t>sho'y</t>
    </rPh>
    <phoneticPr fontId="3" type="noConversion"/>
  </si>
  <si>
    <t>选取利率</t>
    <rPh sb="0" eb="1">
      <t>xuan'qu</t>
    </rPh>
    <rPh sb="2" eb="3">
      <t>li'lv</t>
    </rPh>
    <phoneticPr fontId="3" type="noConversion"/>
  </si>
  <si>
    <t>2018 收入</t>
    <rPh sb="5" eb="6">
      <t>shou'r</t>
    </rPh>
    <phoneticPr fontId="3" type="noConversion"/>
  </si>
  <si>
    <t>代码</t>
    <rPh sb="0" eb="1">
      <t>dai'ma</t>
    </rPh>
    <phoneticPr fontId="3" type="noConversion"/>
  </si>
  <si>
    <t>建信500场外</t>
  </si>
  <si>
    <t>华夏500场外</t>
  </si>
  <si>
    <t>富国500场外</t>
  </si>
  <si>
    <t>广发500场外C</t>
  </si>
  <si>
    <t>富国300场外</t>
  </si>
  <si>
    <t>华夏300场外</t>
  </si>
  <si>
    <t>广发传媒场外</t>
  </si>
  <si>
    <t>华夏50场外</t>
  </si>
  <si>
    <t>红利场外</t>
  </si>
  <si>
    <t>50ETF</t>
  </si>
  <si>
    <t>300ETF</t>
  </si>
  <si>
    <t>创业板</t>
  </si>
  <si>
    <t>医药ETF</t>
  </si>
  <si>
    <t>医药场外</t>
  </si>
  <si>
    <t>养老场外</t>
  </si>
  <si>
    <t>环保场外</t>
  </si>
  <si>
    <t>金融场外</t>
  </si>
  <si>
    <t>德国30</t>
  </si>
  <si>
    <t>恒生</t>
  </si>
  <si>
    <t>7-10国债</t>
  </si>
  <si>
    <t>海外债</t>
  </si>
  <si>
    <t>可转债</t>
  </si>
  <si>
    <t>001180</t>
    <phoneticPr fontId="3" type="noConversion"/>
  </si>
  <si>
    <t>001051</t>
    <phoneticPr fontId="3" type="noConversion"/>
  </si>
  <si>
    <t>000478</t>
    <phoneticPr fontId="3" type="noConversion"/>
  </si>
  <si>
    <t>001052</t>
    <phoneticPr fontId="3" type="noConversion"/>
  </si>
  <si>
    <t>002903</t>
    <phoneticPr fontId="3" type="noConversion"/>
  </si>
  <si>
    <t>000051</t>
    <phoneticPr fontId="3" type="noConversion"/>
  </si>
  <si>
    <t>001469</t>
    <phoneticPr fontId="3" type="noConversion"/>
  </si>
  <si>
    <t>000614</t>
    <phoneticPr fontId="3" type="noConversion"/>
  </si>
  <si>
    <t>003376</t>
    <phoneticPr fontId="3" type="noConversion"/>
  </si>
  <si>
    <t>001061</t>
    <phoneticPr fontId="3" type="noConversion"/>
  </si>
  <si>
    <t>中国互联网</t>
    <rPh sb="0" eb="1">
      <t>zhong'guo</t>
    </rPh>
    <rPh sb="2" eb="3">
      <t>hu'l'w</t>
    </rPh>
    <phoneticPr fontId="3" type="noConversion"/>
  </si>
  <si>
    <t>最新市值</t>
    <rPh sb="0" eb="1">
      <t>zui'x</t>
    </rPh>
    <phoneticPr fontId="3" type="noConversion"/>
  </si>
  <si>
    <t>生活资金</t>
    <rPh sb="0" eb="1">
      <t>sheng'huo'zi'j</t>
    </rPh>
    <phoneticPr fontId="3" type="noConversion"/>
  </si>
  <si>
    <t>持仓PE</t>
    <phoneticPr fontId="3" type="noConversion"/>
  </si>
  <si>
    <t>持仓PB</t>
    <rPh sb="0" eb="1">
      <t>chi'c</t>
    </rPh>
    <phoneticPr fontId="3" type="noConversion"/>
  </si>
  <si>
    <t>指数PE</t>
    <phoneticPr fontId="3" type="noConversion"/>
  </si>
  <si>
    <t>PE折算率</t>
    <phoneticPr fontId="3" type="noConversion"/>
  </si>
  <si>
    <t>指数PB</t>
    <rPh sb="0" eb="1">
      <t>zhi'shu</t>
    </rPh>
    <phoneticPr fontId="3" type="noConversion"/>
  </si>
  <si>
    <t>PB折算率</t>
    <rPh sb="2" eb="3">
      <t>zhe'suan'l</t>
    </rPh>
    <phoneticPr fontId="3" type="noConversion"/>
  </si>
  <si>
    <t>份额PE价值</t>
    <phoneticPr fontId="3" type="noConversion"/>
  </si>
  <si>
    <t>份额PB价值</t>
    <phoneticPr fontId="3" type="noConversion"/>
  </si>
  <si>
    <t>估值PE</t>
    <phoneticPr fontId="3" type="noConversion"/>
  </si>
  <si>
    <t>估值PB</t>
    <rPh sb="0" eb="1">
      <t>gu'zhi</t>
    </rPh>
    <phoneticPr fontId="3" type="noConversion"/>
  </si>
  <si>
    <t>估值盈亏</t>
    <rPh sb="0" eb="1">
      <t>gu'zhi</t>
    </rPh>
    <rPh sb="2" eb="3">
      <t>ying'kui</t>
    </rPh>
    <phoneticPr fontId="3" type="noConversion"/>
  </si>
  <si>
    <t>投资组合盈亏</t>
    <rPh sb="0" eb="1">
      <t>tou'zi</t>
    </rPh>
    <rPh sb="2" eb="3">
      <t>zu'he</t>
    </rPh>
    <rPh sb="4" eb="5">
      <t>ying'k</t>
    </rPh>
    <phoneticPr fontId="3" type="noConversion"/>
  </si>
  <si>
    <t>权益类盈亏</t>
    <rPh sb="0" eb="1">
      <t>quan'yi'lei</t>
    </rPh>
    <rPh sb="3" eb="4">
      <t>ying'k</t>
    </rPh>
    <phoneticPr fontId="3" type="noConversion"/>
  </si>
  <si>
    <t>富国沪深300指数增强</t>
    <rPh sb="0" eb="1">
      <t>fu'guo</t>
    </rPh>
    <rPh sb="2" eb="3">
      <t>hu'shen</t>
    </rPh>
    <rPh sb="7" eb="8">
      <t>zhi'shu</t>
    </rPh>
    <rPh sb="9" eb="10">
      <t>zeng'q</t>
    </rPh>
    <phoneticPr fontId="3" type="noConversion"/>
  </si>
  <si>
    <t>中证红利</t>
  </si>
  <si>
    <t>沪深300</t>
  </si>
  <si>
    <t>中证500</t>
  </si>
  <si>
    <t>中证1000</t>
  </si>
  <si>
    <t>全指医药</t>
  </si>
  <si>
    <t>养老产业</t>
  </si>
  <si>
    <t>中证环保</t>
  </si>
  <si>
    <t>中证传媒</t>
  </si>
  <si>
    <t>金融地产</t>
  </si>
  <si>
    <t>金融地产</t>
    <phoneticPr fontId="3" type="noConversion"/>
  </si>
  <si>
    <t>持仓 PB</t>
    <phoneticPr fontId="3" type="noConversion"/>
  </si>
  <si>
    <t>创业板</t>
    <phoneticPr fontId="3" type="noConversion"/>
  </si>
  <si>
    <t>卖出估值^(1/年限)/(0.97*成本估值^(1/年限))</t>
    <phoneticPr fontId="3" type="noConversion"/>
  </si>
  <si>
    <t>中证红利</t>
    <phoneticPr fontId="3" type="noConversion"/>
  </si>
  <si>
    <t>仓位</t>
    <phoneticPr fontId="3" type="noConversion"/>
  </si>
  <si>
    <t>持仓估值</t>
    <phoneticPr fontId="3" type="noConversion"/>
  </si>
  <si>
    <t>历史最高</t>
    <phoneticPr fontId="3" type="noConversion"/>
  </si>
  <si>
    <t>创业板</t>
    <phoneticPr fontId="3" type="noConversion"/>
  </si>
  <si>
    <t>货币基金</t>
    <phoneticPr fontId="3" type="noConversion"/>
  </si>
  <si>
    <t>投资组合</t>
    <phoneticPr fontId="3" type="noConversion"/>
  </si>
  <si>
    <t>30%估值</t>
    <phoneticPr fontId="3" type="noConversion"/>
  </si>
  <si>
    <t>50%估值</t>
    <phoneticPr fontId="3" type="noConversion"/>
  </si>
  <si>
    <t>70%估值</t>
    <phoneticPr fontId="3" type="noConversion"/>
  </si>
  <si>
    <t>证券公司</t>
    <phoneticPr fontId="3" type="noConversion"/>
  </si>
  <si>
    <t>证券公司</t>
    <phoneticPr fontId="3" type="noConversion"/>
  </si>
  <si>
    <t>持仓3年</t>
    <phoneticPr fontId="3" type="noConversion"/>
  </si>
  <si>
    <t>持仓5年</t>
    <phoneticPr fontId="3" type="noConversion"/>
  </si>
  <si>
    <t>持仓7年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</si>
</sst>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&quot;¥&quot;* #,##0.00_);_(&quot;¥&quot;* \(#,##0.00\);_(&quot;¥&quot;* &quot;-&quot;??_);_(@_)"/>
    <numFmt numFmtId="177" formatCode="0.000"/>
    <numFmt numFmtId="178" formatCode="0.0000"/>
    <numFmt numFmtId="179" formatCode="0.0000_);[Red]\(0.0000\)"/>
    <numFmt numFmtId="180" formatCode="0.00_ "/>
  </numFmts>
  <fonts count="15"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theme="0"/>
      <name val="黑体"/>
      <family val="3"/>
      <charset val="134"/>
    </font>
    <font>
      <b/>
      <sz val="11"/>
      <color theme="1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1"/>
      <color theme="1"/>
      <name val="DengXian"/>
      <charset val="134"/>
      <scheme val="minor"/>
    </font>
    <font>
      <b/>
      <sz val="11"/>
      <color rgb="FFFF0000"/>
      <name val="DengXian"/>
      <charset val="134"/>
      <scheme val="minor"/>
    </font>
    <font>
      <b/>
      <sz val="11"/>
      <color indexed="81"/>
      <name val="ＭＳ Ｐゴシック"/>
      <charset val="128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b/>
      <sz val="11"/>
      <color rgb="FF00B050"/>
      <name val="DengXian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2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right" vertical="center"/>
    </xf>
    <xf numFmtId="0" fontId="4" fillId="2" borderId="0" xfId="0" applyFont="1" applyFill="1" applyAlignment="1">
      <alignment horizontal="center" vertical="center"/>
    </xf>
    <xf numFmtId="14" fontId="4" fillId="3" borderId="0" xfId="0" applyNumberFormat="1" applyFon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0" fontId="6" fillId="0" borderId="0" xfId="1" applyNumberFormat="1" applyFont="1" applyAlignment="1">
      <alignment horizontal="center" vertical="center"/>
    </xf>
    <xf numFmtId="2" fontId="2" fillId="0" borderId="0" xfId="0" applyNumberFormat="1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0" fontId="5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7" fontId="2" fillId="0" borderId="0" xfId="0" applyNumberFormat="1" applyFont="1">
      <alignment vertical="center"/>
    </xf>
    <xf numFmtId="0" fontId="0" fillId="0" borderId="1" xfId="0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10" fontId="0" fillId="2" borderId="0" xfId="0" applyNumberFormat="1" applyFill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2" fontId="9" fillId="0" borderId="0" xfId="0" applyNumberFormat="1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0" fontId="0" fillId="0" borderId="4" xfId="0" applyBorder="1">
      <alignment vertical="center"/>
    </xf>
    <xf numFmtId="49" fontId="0" fillId="0" borderId="5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14" fontId="0" fillId="0" borderId="0" xfId="0" applyNumberFormat="1" applyBorder="1">
      <alignment vertical="center"/>
    </xf>
    <xf numFmtId="2" fontId="9" fillId="0" borderId="0" xfId="0" applyNumberFormat="1" applyFont="1" applyBorder="1">
      <alignment vertical="center"/>
    </xf>
    <xf numFmtId="0" fontId="0" fillId="0" borderId="7" xfId="0" applyBorder="1">
      <alignment vertical="center"/>
    </xf>
    <xf numFmtId="2" fontId="9" fillId="0" borderId="8" xfId="0" applyNumberFormat="1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49" fontId="0" fillId="0" borderId="0" xfId="0" applyNumberFormat="1">
      <alignment vertical="center"/>
    </xf>
    <xf numFmtId="14" fontId="8" fillId="0" borderId="0" xfId="0" applyNumberFormat="1" applyFont="1">
      <alignment vertical="center"/>
    </xf>
    <xf numFmtId="178" fontId="0" fillId="0" borderId="0" xfId="0" applyNumberFormat="1" applyBorder="1">
      <alignment vertical="center"/>
    </xf>
    <xf numFmtId="0" fontId="9" fillId="0" borderId="0" xfId="0" applyFont="1" applyBorder="1">
      <alignment vertical="center"/>
    </xf>
    <xf numFmtId="2" fontId="0" fillId="0" borderId="0" xfId="0" applyNumberFormat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2" fontId="0" fillId="6" borderId="0" xfId="0" applyNumberFormat="1" applyFill="1">
      <alignment vertical="center"/>
    </xf>
    <xf numFmtId="2" fontId="0" fillId="7" borderId="0" xfId="0" applyNumberFormat="1" applyFill="1">
      <alignment vertical="center"/>
    </xf>
    <xf numFmtId="0" fontId="0" fillId="5" borderId="0" xfId="0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179" fontId="0" fillId="5" borderId="0" xfId="0" applyNumberForma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0" fontId="0" fillId="9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176" fontId="0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1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3">
    <cellStyle name="百分比" xfId="1" builtinId="5"/>
    <cellStyle name="常规" xfId="0" builtinId="0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货币" xfId="2" builtinId="4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</cellStyles>
  <dxfs count="43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42"/>
    </mc:Choice>
    <mc:Fallback>
      <c:style val="4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资产配置</a:t>
            </a:r>
          </a:p>
        </c:rich>
      </c:tx>
      <c:layout/>
      <c:overlay val="1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8180647419072599"/>
          <c:y val="0.19905659017094701"/>
          <c:w val="0.63273957925885604"/>
          <c:h val="0.80026550308233402"/>
        </c:manualLayout>
      </c:layout>
      <c:pie3DChart>
        <c:varyColors val="1"/>
        <c:ser>
          <c:idx val="0"/>
          <c:order val="0"/>
          <c:explosion val="10"/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zh-CN" altLang="en-US" sz="1000" baseline="0"/>
                      <a:t>商品贵金属</a:t>
                    </a:r>
                  </a:p>
                  <a:p>
                    <a:r>
                      <a:rPr lang="en-US" altLang="zh-CN" sz="1000" baseline="0"/>
                      <a:t>2.25%</a:t>
                    </a:r>
                    <a:endParaRPr lang="zh-CN" altLang="en-US"/>
                  </a:p>
                </c:rich>
              </c:tx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aseline="0">
                    <a:latin typeface="微软雅黑" pitchFamily="34" charset="-122"/>
                    <a:ea typeface="微软雅黑" pitchFamily="34" charset="-122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资产配置表!$G$3:$G$5</c:f>
              <c:numCache>
                <c:formatCode>0.00%</c:formatCode>
                <c:ptCount val="3"/>
                <c:pt idx="0">
                  <c:v>0.31886923749999979</c:v>
                </c:pt>
                <c:pt idx="1">
                  <c:v>0.65868450000000023</c:v>
                </c:pt>
                <c:pt idx="2">
                  <c:v>2.2446262500000001E-2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资产配置表!$G$28:$G$36</c:f>
              <c:numCache>
                <c:formatCode>0.00%</c:formatCode>
                <c:ptCount val="9"/>
                <c:pt idx="0">
                  <c:v>5.8900000000000001E-2</c:v>
                </c:pt>
                <c:pt idx="1">
                  <c:v>3.9856999999999997E-2</c:v>
                </c:pt>
                <c:pt idx="2">
                  <c:v>0.2110085125</c:v>
                </c:pt>
                <c:pt idx="3">
                  <c:v>4.9623162499999998E-2</c:v>
                </c:pt>
                <c:pt idx="4">
                  <c:v>1.6085612499999999E-2</c:v>
                </c:pt>
                <c:pt idx="5">
                  <c:v>4.5076224999999998E-2</c:v>
                </c:pt>
                <c:pt idx="6">
                  <c:v>5.6750000000000002E-2</c:v>
                </c:pt>
                <c:pt idx="7">
                  <c:v>5.2069037499999998E-2</c:v>
                </c:pt>
                <c:pt idx="8">
                  <c:v>3.70254125E-2</c:v>
                </c:pt>
              </c:numCache>
            </c:numRef>
          </c:val>
        </c:ser>
        <c:ser>
          <c:idx val="1"/>
          <c:order val="1"/>
          <c:explosion val="25"/>
          <c:cat>
            <c:strRef>
              <c:f>资产配置表!$F$28:$F$36</c:f>
              <c:strCache>
                <c:ptCount val="9"/>
                <c:pt idx="0">
                  <c:v>中证红利</c:v>
                </c:pt>
                <c:pt idx="1">
                  <c:v>沪深300</c:v>
                </c:pt>
                <c:pt idx="2">
                  <c:v>中证500</c:v>
                </c:pt>
                <c:pt idx="3">
                  <c:v>中证1000</c:v>
                </c:pt>
                <c:pt idx="4">
                  <c:v>创业板</c:v>
                </c:pt>
                <c:pt idx="5">
                  <c:v>全指医药</c:v>
                </c:pt>
                <c:pt idx="6">
                  <c:v>养老产业</c:v>
                </c:pt>
                <c:pt idx="7">
                  <c:v>中证环保</c:v>
                </c:pt>
                <c:pt idx="8">
                  <c:v>中证传媒</c:v>
                </c:pt>
              </c:strCache>
            </c:strRef>
          </c:cat>
          <c:val>
            <c:numRef>
              <c:f>资产配置表!$H$28:$H$36</c:f>
              <c:numCache>
                <c:formatCode>0.00</c:formatCode>
                <c:ptCount val="9"/>
                <c:pt idx="0">
                  <c:v>10.981644135782176</c:v>
                </c:pt>
                <c:pt idx="1">
                  <c:v>11.53132941400186</c:v>
                </c:pt>
                <c:pt idx="2">
                  <c:v>22.598910086325166</c:v>
                </c:pt>
                <c:pt idx="3">
                  <c:v>27.921186306144762</c:v>
                </c:pt>
                <c:pt idx="4">
                  <c:v>37.256205640613935</c:v>
                </c:pt>
                <c:pt idx="5">
                  <c:v>29.393669147742237</c:v>
                </c:pt>
                <c:pt idx="6">
                  <c:v>24.609610138201177</c:v>
                </c:pt>
                <c:pt idx="7">
                  <c:v>26.204178663494215</c:v>
                </c:pt>
                <c:pt idx="8">
                  <c:v>29.659616752836897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资产配置表!$H$2</c:f>
              <c:strCache>
                <c:ptCount val="1"/>
                <c:pt idx="0">
                  <c:v>ETF计划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资产配置表!$F$3:$F$5</c:f>
              <c:strCache>
                <c:ptCount val="3"/>
                <c:pt idx="0">
                  <c:v>低风险理财</c:v>
                </c:pt>
                <c:pt idx="1">
                  <c:v>权益类资产</c:v>
                </c:pt>
                <c:pt idx="2">
                  <c:v>商品贵金属</c:v>
                </c:pt>
              </c:strCache>
            </c:strRef>
          </c:cat>
          <c:val>
            <c:numRef>
              <c:f>资产配置表!$H$3:$H$5</c:f>
              <c:numCache>
                <c:formatCode>0.00%</c:formatCode>
                <c:ptCount val="3"/>
                <c:pt idx="0">
                  <c:v>0.30149999999999999</c:v>
                </c:pt>
                <c:pt idx="1">
                  <c:v>0.68510000000000004</c:v>
                </c:pt>
                <c:pt idx="2">
                  <c:v>1.34E-2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5</xdr:row>
      <xdr:rowOff>179388</xdr:rowOff>
    </xdr:from>
    <xdr:to>
      <xdr:col>8</xdr:col>
      <xdr:colOff>787399</xdr:colOff>
      <xdr:row>21</xdr:row>
      <xdr:rowOff>165100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60325</xdr:colOff>
      <xdr:row>26</xdr:row>
      <xdr:rowOff>80962</xdr:rowOff>
    </xdr:from>
    <xdr:to>
      <xdr:col>16</xdr:col>
      <xdr:colOff>257175</xdr:colOff>
      <xdr:row>42</xdr:row>
      <xdr:rowOff>80962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787400</xdr:colOff>
      <xdr:row>5</xdr:row>
      <xdr:rowOff>171450</xdr:rowOff>
    </xdr:from>
    <xdr:to>
      <xdr:col>13</xdr:col>
      <xdr:colOff>457200</xdr:colOff>
      <xdr:row>21</xdr:row>
      <xdr:rowOff>127000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6"/>
  <sheetViews>
    <sheetView zoomScale="90" zoomScaleNormal="90" workbookViewId="0"/>
  </sheetViews>
  <sheetFormatPr defaultColWidth="8.875" defaultRowHeight="13.5"/>
  <cols>
    <col min="1" max="1" width="11.625" bestFit="1" customWidth="1"/>
    <col min="2" max="2" width="24.875" customWidth="1"/>
    <col min="3" max="3" width="8.625" customWidth="1"/>
    <col min="4" max="4" width="5.125" customWidth="1"/>
    <col min="5" max="5" width="7.5" customWidth="1"/>
    <col min="6" max="6" width="7.875" customWidth="1"/>
    <col min="7" max="7" width="10.5" customWidth="1"/>
    <col min="8" max="9" width="9" customWidth="1"/>
    <col min="10" max="11" width="13.625" customWidth="1"/>
    <col min="12" max="12" width="14.125" bestFit="1" customWidth="1"/>
    <col min="13" max="13" width="14" customWidth="1"/>
    <col min="14" max="14" width="7.875" customWidth="1"/>
    <col min="15" max="15" width="10.5" customWidth="1"/>
    <col min="16" max="17" width="11.5" customWidth="1"/>
    <col min="18" max="18" width="12.5" bestFit="1" customWidth="1"/>
    <col min="19" max="23" width="11.5" customWidth="1"/>
    <col min="25" max="25" width="11" bestFit="1" customWidth="1"/>
  </cols>
  <sheetData>
    <row r="1" spans="1:26">
      <c r="A1" s="2" t="s">
        <v>0</v>
      </c>
      <c r="B1" s="2" t="s">
        <v>1</v>
      </c>
      <c r="C1" s="2" t="s">
        <v>121</v>
      </c>
      <c r="D1" s="2" t="s">
        <v>8</v>
      </c>
      <c r="E1" s="2" t="s">
        <v>63</v>
      </c>
      <c r="F1" s="2" t="s">
        <v>62</v>
      </c>
      <c r="G1" s="2" t="s">
        <v>47</v>
      </c>
      <c r="H1" s="2" t="s">
        <v>211</v>
      </c>
      <c r="I1" s="74" t="s">
        <v>212</v>
      </c>
      <c r="J1" s="2" t="s">
        <v>209</v>
      </c>
      <c r="K1" s="74" t="s">
        <v>210</v>
      </c>
      <c r="L1" s="2" t="s">
        <v>9</v>
      </c>
      <c r="M1" s="2" t="s">
        <v>30</v>
      </c>
      <c r="N1" s="2" t="s">
        <v>29</v>
      </c>
      <c r="O1" s="2"/>
    </row>
    <row r="2" spans="1:26">
      <c r="A2" s="3">
        <v>42627</v>
      </c>
      <c r="B2" s="3" t="s">
        <v>3</v>
      </c>
      <c r="C2" s="3" t="s">
        <v>120</v>
      </c>
      <c r="D2" s="3" t="s">
        <v>11</v>
      </c>
      <c r="E2" s="21">
        <v>1.006</v>
      </c>
      <c r="F2" s="21">
        <v>1.006</v>
      </c>
      <c r="G2" s="20">
        <v>3375.67</v>
      </c>
      <c r="H2" s="21"/>
      <c r="I2" s="21"/>
      <c r="J2" s="21">
        <f>H2*(-$M2)</f>
        <v>0</v>
      </c>
      <c r="K2" s="21">
        <f>I2*(-$M2)</f>
        <v>0</v>
      </c>
      <c r="L2" s="7" t="s">
        <v>10</v>
      </c>
      <c r="M2" s="4">
        <v>-3400</v>
      </c>
      <c r="N2" s="4">
        <v>4.08</v>
      </c>
      <c r="O2" s="4"/>
      <c r="P2" s="2" t="s">
        <v>52</v>
      </c>
      <c r="Q2">
        <v>800000</v>
      </c>
      <c r="R2" t="s">
        <v>214</v>
      </c>
      <c r="S2" s="18">
        <f>(SUM(S4:S7) - SUM(Q4:Q7))/$Q$2</f>
        <v>-3.7458644473958268E-2</v>
      </c>
      <c r="T2" s="18" t="s">
        <v>215</v>
      </c>
      <c r="U2" s="18">
        <f>(SUM(S4:S6) - SUM(Q4:Q6))/SUM(Q4:Q6)</f>
        <v>-7.7536299450486068E-2</v>
      </c>
    </row>
    <row r="3" spans="1:26">
      <c r="A3" s="3">
        <v>42748</v>
      </c>
      <c r="B3" s="3" t="s">
        <v>2</v>
      </c>
      <c r="C3" s="3" t="s">
        <v>122</v>
      </c>
      <c r="D3" s="3" t="s">
        <v>11</v>
      </c>
      <c r="E3" s="21">
        <v>0.78149999999999997</v>
      </c>
      <c r="F3" s="21">
        <v>0.78149999999999997</v>
      </c>
      <c r="G3" s="20">
        <v>9457.64</v>
      </c>
      <c r="H3" s="21">
        <f>$F3*$T$20</f>
        <v>29.131582016066336</v>
      </c>
      <c r="I3" s="21">
        <f>$F3*$V$20</f>
        <v>3.5642394402694997</v>
      </c>
      <c r="J3" s="21">
        <f t="shared" ref="J3:J66" si="0">H3*(-$M3)</f>
        <v>215573.70691889088</v>
      </c>
      <c r="K3" s="21">
        <f t="shared" ref="K3:K66" si="1">I3*(-$M3)</f>
        <v>26375.371857994298</v>
      </c>
      <c r="L3" s="7" t="s">
        <v>10</v>
      </c>
      <c r="M3" s="4">
        <v>-7400</v>
      </c>
      <c r="N3" s="4">
        <f>4.43*2</f>
        <v>8.86</v>
      </c>
      <c r="O3" s="4"/>
      <c r="P3" s="9" t="s">
        <v>13</v>
      </c>
      <c r="Q3" s="9" t="s">
        <v>48</v>
      </c>
      <c r="R3" s="9" t="s">
        <v>118</v>
      </c>
      <c r="S3" s="9" t="s">
        <v>49</v>
      </c>
      <c r="T3" s="24" t="s">
        <v>50</v>
      </c>
    </row>
    <row r="4" spans="1:26">
      <c r="A4" s="3">
        <v>42760</v>
      </c>
      <c r="B4" s="3" t="s">
        <v>4</v>
      </c>
      <c r="C4" s="3" t="s">
        <v>123</v>
      </c>
      <c r="D4" s="3" t="s">
        <v>11</v>
      </c>
      <c r="E4" s="21">
        <v>1.107</v>
      </c>
      <c r="F4" s="21">
        <v>2.492</v>
      </c>
      <c r="G4" s="20">
        <v>3571.88</v>
      </c>
      <c r="H4" s="21">
        <f>F4*$T$13</f>
        <v>10.435368261199695</v>
      </c>
      <c r="I4" s="21">
        <f>F4*$V$13</f>
        <v>1.229916476841306</v>
      </c>
      <c r="J4" s="21">
        <f t="shared" si="0"/>
        <v>41324.05831435079</v>
      </c>
      <c r="K4" s="21">
        <f t="shared" si="1"/>
        <v>4870.4692482915716</v>
      </c>
      <c r="L4" s="7" t="s">
        <v>10</v>
      </c>
      <c r="M4" s="4">
        <v>-3960</v>
      </c>
      <c r="N4" s="4">
        <v>5.93</v>
      </c>
      <c r="O4" s="4"/>
      <c r="P4" s="10" t="s">
        <v>10</v>
      </c>
      <c r="Q4" s="52">
        <f>SUMIF(L:L,"=天天基金",M:M)*-1</f>
        <v>187035.11000000002</v>
      </c>
      <c r="R4" s="52">
        <v>608.11</v>
      </c>
      <c r="S4" s="69">
        <f>Q4+R4</f>
        <v>187643.22</v>
      </c>
      <c r="T4" s="26">
        <f>S4/Q4-1</f>
        <v>3.2513146863173414E-3</v>
      </c>
    </row>
    <row r="5" spans="1:26">
      <c r="A5" s="3">
        <v>42760</v>
      </c>
      <c r="B5" s="3" t="s">
        <v>5</v>
      </c>
      <c r="C5" s="3" t="s">
        <v>124</v>
      </c>
      <c r="D5" s="3" t="s">
        <v>11</v>
      </c>
      <c r="E5" s="21">
        <v>0.95950000000000002</v>
      </c>
      <c r="F5" s="21">
        <v>0.95950000000000002</v>
      </c>
      <c r="G5" s="20">
        <v>4122.2</v>
      </c>
      <c r="H5" s="21">
        <f>E5*$T$21</f>
        <v>24.037512345001645</v>
      </c>
      <c r="I5" s="21">
        <f>E5*$V$21</f>
        <v>3.0533852737847029</v>
      </c>
      <c r="J5" s="21">
        <f t="shared" si="0"/>
        <v>95188.54888620651</v>
      </c>
      <c r="K5" s="21">
        <f t="shared" si="1"/>
        <v>12091.405684187424</v>
      </c>
      <c r="L5" s="7" t="s">
        <v>10</v>
      </c>
      <c r="M5" s="4">
        <v>-3960</v>
      </c>
      <c r="N5" s="4">
        <v>4.75</v>
      </c>
      <c r="O5" s="4"/>
      <c r="P5" s="10" t="s">
        <v>14</v>
      </c>
      <c r="Q5" s="52">
        <f>SUMIF(L:L,"=支付宝",M:M)*-1</f>
        <v>12000</v>
      </c>
      <c r="R5" s="52">
        <v>-2916.26</v>
      </c>
      <c r="S5" s="69">
        <f>Q5+R5</f>
        <v>9083.74</v>
      </c>
      <c r="T5" s="26">
        <f>S5/Q5-1</f>
        <v>-0.24302166666666669</v>
      </c>
      <c r="W5" t="s">
        <v>202</v>
      </c>
    </row>
    <row r="6" spans="1:26">
      <c r="A6" s="3">
        <v>42781</v>
      </c>
      <c r="B6" s="3" t="s">
        <v>6</v>
      </c>
      <c r="C6" s="3" t="s">
        <v>125</v>
      </c>
      <c r="D6" s="3" t="s">
        <v>11</v>
      </c>
      <c r="E6" s="21">
        <v>0.95040000000000002</v>
      </c>
      <c r="F6" s="21">
        <v>0.95040000000000002</v>
      </c>
      <c r="G6" s="20">
        <v>4164.58</v>
      </c>
      <c r="H6" s="21"/>
      <c r="I6" s="21"/>
      <c r="J6" s="21">
        <f t="shared" si="0"/>
        <v>0</v>
      </c>
      <c r="K6" s="21">
        <f t="shared" si="1"/>
        <v>0</v>
      </c>
      <c r="L6" s="7" t="s">
        <v>10</v>
      </c>
      <c r="M6" s="4">
        <v>-3960</v>
      </c>
      <c r="N6" s="4">
        <v>1.98</v>
      </c>
      <c r="O6" s="4"/>
      <c r="P6" s="10" t="s">
        <v>25</v>
      </c>
      <c r="Q6" s="52">
        <f>SUMIF(L:L,"=股票账户",M:M)*-1</f>
        <v>356510.49</v>
      </c>
      <c r="R6" s="52">
        <f>-40766.8</f>
        <v>-40766.800000000003</v>
      </c>
      <c r="S6" s="69">
        <f>Q6+R6</f>
        <v>315743.69</v>
      </c>
      <c r="T6" s="26">
        <f>S6/Q6-1</f>
        <v>-0.1143495104449801</v>
      </c>
      <c r="W6" s="72">
        <f>296653.78-Q7+19200</f>
        <v>71399.38</v>
      </c>
    </row>
    <row r="7" spans="1:26">
      <c r="A7" s="3">
        <v>42825</v>
      </c>
      <c r="B7" s="3" t="s">
        <v>2</v>
      </c>
      <c r="C7" s="3" t="s">
        <v>126</v>
      </c>
      <c r="D7" s="3" t="s">
        <v>11</v>
      </c>
      <c r="E7" s="21">
        <v>0.81530000000000002</v>
      </c>
      <c r="F7" s="21">
        <v>0.81530000000000002</v>
      </c>
      <c r="G7" s="20">
        <v>4851.28</v>
      </c>
      <c r="H7" s="21">
        <f>F7*$T$20</f>
        <v>30.391527597823266</v>
      </c>
      <c r="I7" s="21">
        <f>F7*$V$20</f>
        <v>3.7183933661570356</v>
      </c>
      <c r="J7" s="21">
        <f t="shared" si="0"/>
        <v>120350.44928738014</v>
      </c>
      <c r="K7" s="21">
        <f t="shared" si="1"/>
        <v>14724.83772998186</v>
      </c>
      <c r="L7" s="7" t="s">
        <v>10</v>
      </c>
      <c r="M7" s="4">
        <v>-3960</v>
      </c>
      <c r="N7" s="4">
        <v>4.75</v>
      </c>
      <c r="O7" s="4"/>
      <c r="P7" s="10" t="s">
        <v>119</v>
      </c>
      <c r="Q7" s="11">
        <f>Q2-SUM(Q4:Q6)</f>
        <v>244454.40000000002</v>
      </c>
      <c r="R7" s="11">
        <f>W57</f>
        <v>13108.034420833335</v>
      </c>
      <c r="S7" s="11">
        <f>Q7+R7</f>
        <v>257562.43442083336</v>
      </c>
      <c r="T7" s="26">
        <f>S7/Q7-1</f>
        <v>5.3621593314881366E-2</v>
      </c>
    </row>
    <row r="8" spans="1:26">
      <c r="A8" s="3">
        <v>42839</v>
      </c>
      <c r="B8" s="3" t="s">
        <v>5</v>
      </c>
      <c r="C8" s="3" t="s">
        <v>127</v>
      </c>
      <c r="D8" s="3" t="s">
        <v>11</v>
      </c>
      <c r="E8" s="21">
        <v>0.99770000000000003</v>
      </c>
      <c r="F8" s="21">
        <v>0.99770000000000003</v>
      </c>
      <c r="G8" s="20">
        <v>3964.37</v>
      </c>
      <c r="H8" s="21">
        <f>F8*$T$21</f>
        <v>24.994503456600459</v>
      </c>
      <c r="I8" s="21">
        <f>E8*$V$21</f>
        <v>3.1749478766597168</v>
      </c>
      <c r="J8" s="21">
        <f t="shared" si="0"/>
        <v>98978.233688137814</v>
      </c>
      <c r="K8" s="21">
        <f t="shared" si="1"/>
        <v>12572.793591572479</v>
      </c>
      <c r="L8" s="7" t="s">
        <v>10</v>
      </c>
      <c r="M8" s="4">
        <v>-3960</v>
      </c>
      <c r="N8" s="4">
        <v>4.75</v>
      </c>
      <c r="O8" s="4"/>
    </row>
    <row r="9" spans="1:26">
      <c r="A9" s="3">
        <v>42850</v>
      </c>
      <c r="B9" s="3" t="s">
        <v>6</v>
      </c>
      <c r="C9" s="3" t="s">
        <v>125</v>
      </c>
      <c r="D9" s="3" t="s">
        <v>11</v>
      </c>
      <c r="E9" s="21">
        <v>0.9456</v>
      </c>
      <c r="F9" s="21">
        <v>0.9456</v>
      </c>
      <c r="G9" s="20">
        <v>4185.72</v>
      </c>
      <c r="H9" s="21"/>
      <c r="I9" s="21"/>
      <c r="J9" s="21">
        <f t="shared" si="0"/>
        <v>0</v>
      </c>
      <c r="K9" s="21">
        <f t="shared" si="1"/>
        <v>0</v>
      </c>
      <c r="L9" s="7" t="s">
        <v>10</v>
      </c>
      <c r="M9" s="4">
        <v>-3960</v>
      </c>
      <c r="N9" s="4">
        <v>1.98</v>
      </c>
      <c r="O9" s="4"/>
      <c r="P9" s="53" t="s">
        <v>160</v>
      </c>
    </row>
    <row r="10" spans="1:26">
      <c r="A10" s="3">
        <v>42850</v>
      </c>
      <c r="B10" s="3" t="s">
        <v>5</v>
      </c>
      <c r="C10" s="3" t="s">
        <v>127</v>
      </c>
      <c r="D10" s="3" t="s">
        <v>11</v>
      </c>
      <c r="E10" s="21">
        <v>0.99329999999999996</v>
      </c>
      <c r="F10" s="21">
        <v>0.99329999999999996</v>
      </c>
      <c r="G10" s="20">
        <v>3981.93</v>
      </c>
      <c r="H10" s="21">
        <f>F10*$T$21</f>
        <v>24.884274113903214</v>
      </c>
      <c r="I10" s="21">
        <f>E10*$V$21</f>
        <v>3.1609459014594532</v>
      </c>
      <c r="J10" s="21">
        <f t="shared" si="0"/>
        <v>98541.725491056728</v>
      </c>
      <c r="K10" s="21">
        <f t="shared" si="1"/>
        <v>12517.345769779435</v>
      </c>
      <c r="L10" s="7" t="s">
        <v>10</v>
      </c>
      <c r="M10" s="4">
        <v>-3960</v>
      </c>
      <c r="N10" s="4">
        <v>4.75</v>
      </c>
      <c r="O10" s="4"/>
    </row>
    <row r="11" spans="1:26">
      <c r="A11" s="3">
        <v>42850</v>
      </c>
      <c r="B11" s="2" t="s">
        <v>17</v>
      </c>
      <c r="C11" s="2" t="s">
        <v>126</v>
      </c>
      <c r="D11" s="3" t="s">
        <v>11</v>
      </c>
      <c r="E11" s="21">
        <v>1.288</v>
      </c>
      <c r="F11" s="21">
        <v>1.288</v>
      </c>
      <c r="G11" s="20">
        <v>3100</v>
      </c>
      <c r="H11" s="21">
        <f>F11*$T$19</f>
        <v>29.770836346107497</v>
      </c>
      <c r="I11" s="21">
        <f>F11*$V$19</f>
        <v>3.6424519964650122</v>
      </c>
      <c r="J11" s="21">
        <f t="shared" si="0"/>
        <v>118892.8120318149</v>
      </c>
      <c r="K11" s="21">
        <f t="shared" si="1"/>
        <v>14546.496293082671</v>
      </c>
      <c r="L11" s="5" t="s">
        <v>24</v>
      </c>
      <c r="M11" s="4">
        <v>-3993.6</v>
      </c>
      <c r="N11" s="4">
        <v>0.79999999999972715</v>
      </c>
      <c r="O11" s="4"/>
      <c r="P11" s="2"/>
      <c r="Q11" s="2"/>
      <c r="R11" s="2" t="s">
        <v>55</v>
      </c>
      <c r="S11" s="15">
        <v>43361</v>
      </c>
      <c r="T11" s="2"/>
      <c r="U11" s="2"/>
      <c r="V11" s="74"/>
      <c r="W11" s="2"/>
    </row>
    <row r="12" spans="1:26">
      <c r="A12" s="3">
        <v>42853</v>
      </c>
      <c r="B12" s="2" t="s">
        <v>18</v>
      </c>
      <c r="C12" s="2" t="s">
        <v>128</v>
      </c>
      <c r="D12" s="3" t="s">
        <v>11</v>
      </c>
      <c r="E12" s="21">
        <v>6.4779999999999998</v>
      </c>
      <c r="F12" s="21">
        <v>6.4779999999999998</v>
      </c>
      <c r="G12" s="20">
        <v>600</v>
      </c>
      <c r="H12" s="21">
        <f>F12*$T$16</f>
        <v>25.097718467498925</v>
      </c>
      <c r="I12" s="21">
        <f>F12*$V$16</f>
        <v>2.2689351543850038</v>
      </c>
      <c r="J12" s="21">
        <f t="shared" si="0"/>
        <v>97569.388359879464</v>
      </c>
      <c r="K12" s="21">
        <f t="shared" si="1"/>
        <v>8820.6669274840533</v>
      </c>
      <c r="L12" s="5" t="s">
        <v>24</v>
      </c>
      <c r="M12" s="4">
        <v>-3887.58</v>
      </c>
      <c r="N12" s="4">
        <v>0.77999999999974534</v>
      </c>
      <c r="O12" s="4"/>
      <c r="P12" s="25" t="s">
        <v>54</v>
      </c>
      <c r="Q12" s="25" t="s">
        <v>167</v>
      </c>
      <c r="R12" s="2" t="s">
        <v>61</v>
      </c>
      <c r="S12" s="25" t="s">
        <v>205</v>
      </c>
      <c r="T12" s="2" t="s">
        <v>206</v>
      </c>
      <c r="U12" s="74" t="s">
        <v>207</v>
      </c>
      <c r="V12" s="74" t="s">
        <v>208</v>
      </c>
      <c r="W12" s="2" t="s">
        <v>203</v>
      </c>
      <c r="X12" s="74" t="s">
        <v>204</v>
      </c>
      <c r="Y12" s="2" t="s">
        <v>64</v>
      </c>
      <c r="Z12" s="2"/>
    </row>
    <row r="13" spans="1:26">
      <c r="A13" s="3">
        <v>42853</v>
      </c>
      <c r="B13" s="2" t="s">
        <v>17</v>
      </c>
      <c r="C13" s="2" t="s">
        <v>126</v>
      </c>
      <c r="D13" s="3" t="s">
        <v>11</v>
      </c>
      <c r="E13" s="21">
        <v>1.2889999999999999</v>
      </c>
      <c r="F13" s="21">
        <v>1.2889999999999999</v>
      </c>
      <c r="G13" s="20">
        <v>3100</v>
      </c>
      <c r="H13" s="21">
        <f>F13*$T$19</f>
        <v>29.793950349481804</v>
      </c>
      <c r="I13" s="21">
        <f>F13*$V$19</f>
        <v>3.6452799871454968</v>
      </c>
      <c r="J13" s="21">
        <f t="shared" si="0"/>
        <v>119077.48136177393</v>
      </c>
      <c r="K13" s="21">
        <f t="shared" si="1"/>
        <v>14569.090524624407</v>
      </c>
      <c r="L13" s="5" t="s">
        <v>24</v>
      </c>
      <c r="M13" s="4">
        <v>-3996.7</v>
      </c>
      <c r="N13" s="4">
        <v>0.79999999999972715</v>
      </c>
      <c r="O13" s="4"/>
      <c r="P13" s="25" t="s">
        <v>176</v>
      </c>
      <c r="Q13" s="63">
        <v>100032</v>
      </c>
      <c r="R13" s="64">
        <v>2.6339999999999999</v>
      </c>
      <c r="S13" s="57">
        <v>11.03</v>
      </c>
      <c r="T13" s="58">
        <f t="shared" ref="T13:T25" si="2">S13/R13</f>
        <v>4.1875474563401669</v>
      </c>
      <c r="U13" s="57">
        <v>1.3</v>
      </c>
      <c r="V13" s="58">
        <f>U13/R13</f>
        <v>0.49354593773728173</v>
      </c>
      <c r="W13" s="75">
        <f>SUMIF(C:C,"=红利",J:J)/SUMIF(C:C,"=红利",M:M)*-1</f>
        <v>10.981644135782176</v>
      </c>
      <c r="X13" s="75">
        <f>SUMIF(C:C,"=红利",K:K)/SUMIF(C:C,"=红利",M:M)*-1</f>
        <v>1.2943007594303564</v>
      </c>
      <c r="Y13" s="59">
        <f>(SUMIF(C:C,"=红利",M:M)*-1)/$Q$2</f>
        <v>5.8900000000000001E-2</v>
      </c>
      <c r="Z13" s="2"/>
    </row>
    <row r="14" spans="1:26">
      <c r="A14" s="3">
        <v>42878</v>
      </c>
      <c r="B14" s="2" t="s">
        <v>18</v>
      </c>
      <c r="C14" s="2" t="s">
        <v>129</v>
      </c>
      <c r="D14" s="3" t="s">
        <v>11</v>
      </c>
      <c r="E14" s="21">
        <v>6.0780000000000003</v>
      </c>
      <c r="F14" s="21">
        <v>6.0780000000000003</v>
      </c>
      <c r="G14" s="20">
        <v>600</v>
      </c>
      <c r="H14" s="21">
        <f>F14*$T$16</f>
        <v>23.547998278088681</v>
      </c>
      <c r="I14" s="21">
        <f>F14*$V$16</f>
        <v>2.1288341877666026</v>
      </c>
      <c r="J14" s="21">
        <f t="shared" si="0"/>
        <v>85874.840120533801</v>
      </c>
      <c r="K14" s="21">
        <f t="shared" si="1"/>
        <v>7763.4325159472464</v>
      </c>
      <c r="L14" s="5" t="s">
        <v>24</v>
      </c>
      <c r="M14" s="4">
        <v>-3646.8</v>
      </c>
      <c r="N14" s="4">
        <v>0</v>
      </c>
      <c r="O14" s="4"/>
      <c r="P14" s="25" t="s">
        <v>177</v>
      </c>
      <c r="Q14" s="63">
        <v>510050</v>
      </c>
      <c r="R14" s="64">
        <v>2.6619999999999999</v>
      </c>
      <c r="S14" s="57">
        <v>10.210000000000001</v>
      </c>
      <c r="T14" s="58">
        <f t="shared" si="2"/>
        <v>3.835462058602555</v>
      </c>
      <c r="U14" s="57">
        <v>1.28</v>
      </c>
      <c r="V14" s="58">
        <f t="shared" ref="V14:V34" si="3">U14/R14</f>
        <v>0.48084147257700977</v>
      </c>
      <c r="W14" s="75">
        <f>SUMIF(C:C,"=50ETF",J:J)/SUMIF(C:C,"=50ETF",M:M)*-1</f>
        <v>9.1514124718256973</v>
      </c>
      <c r="X14" s="75">
        <f>SUMIF(C:C,"=50ETF",K:K)/SUMIF(C:C,"=50ETF",M:M)*-1</f>
        <v>1.1472877535687453</v>
      </c>
      <c r="Y14" s="59">
        <f>(SUMIF(C:C,"=50ETF",M:M)*-1)/$Q$2</f>
        <v>8.0543625000000004E-3</v>
      </c>
      <c r="Z14" s="2"/>
    </row>
    <row r="15" spans="1:26">
      <c r="A15" s="3">
        <v>42878</v>
      </c>
      <c r="B15" s="3" t="s">
        <v>5</v>
      </c>
      <c r="C15" s="3" t="s">
        <v>127</v>
      </c>
      <c r="D15" s="3" t="s">
        <v>11</v>
      </c>
      <c r="E15" s="21">
        <v>0.99590000000000001</v>
      </c>
      <c r="F15" s="21">
        <v>0.99590000000000001</v>
      </c>
      <c r="G15" s="20">
        <v>7943.08</v>
      </c>
      <c r="H15" s="21">
        <f>F15*$T$21</f>
        <v>24.949409634587951</v>
      </c>
      <c r="I15" s="21">
        <f>E15*$V$21</f>
        <v>3.1692197958959727</v>
      </c>
      <c r="J15" s="21">
        <f t="shared" si="0"/>
        <v>197599.32430593658</v>
      </c>
      <c r="K15" s="21">
        <f t="shared" si="1"/>
        <v>25100.220783496105</v>
      </c>
      <c r="L15" s="7" t="s">
        <v>10</v>
      </c>
      <c r="M15" s="4">
        <v>-7920</v>
      </c>
      <c r="N15" s="4">
        <v>9.49</v>
      </c>
      <c r="O15" s="4"/>
      <c r="P15" s="25" t="s">
        <v>178</v>
      </c>
      <c r="Q15" s="63">
        <v>510300</v>
      </c>
      <c r="R15" s="64">
        <v>3.5070999999999999</v>
      </c>
      <c r="S15" s="57">
        <v>11.69</v>
      </c>
      <c r="T15" s="58">
        <f t="shared" si="2"/>
        <v>3.333238288044253</v>
      </c>
      <c r="U15" s="57">
        <v>1.46</v>
      </c>
      <c r="V15" s="58">
        <f t="shared" si="3"/>
        <v>0.41629836617148069</v>
      </c>
      <c r="W15" s="75">
        <f>SUMIF(C:C,"=300ETF",J:J)/SUMIF(C:C,"=300ETF",M:M)*-1</f>
        <v>11.53132941400186</v>
      </c>
      <c r="X15" s="75">
        <f>SUMIF(C:C,"=300ETF",K:K)/SUMIF(C:C,"=300ETF",M:M)*-1</f>
        <v>1.4401831432371872</v>
      </c>
      <c r="Y15" s="59">
        <f>(SUMIF(C:C,"=300ETF",M:M)*-1)/$Q$2</f>
        <v>3.9856999999999997E-2</v>
      </c>
      <c r="Z15" s="2"/>
    </row>
    <row r="16" spans="1:26">
      <c r="A16" s="3">
        <v>42878</v>
      </c>
      <c r="B16" s="2" t="s">
        <v>17</v>
      </c>
      <c r="C16" s="2" t="s">
        <v>126</v>
      </c>
      <c r="D16" s="3" t="s">
        <v>11</v>
      </c>
      <c r="E16" s="21">
        <v>1.256</v>
      </c>
      <c r="F16" s="21">
        <v>1.256</v>
      </c>
      <c r="G16" s="20">
        <v>3100</v>
      </c>
      <c r="H16" s="21">
        <f>F16*$T$19</f>
        <v>29.031188238129673</v>
      </c>
      <c r="I16" s="21">
        <f>F16*$V$19</f>
        <v>3.5519562946894836</v>
      </c>
      <c r="J16" s="21">
        <f t="shared" si="0"/>
        <v>113035.83452398168</v>
      </c>
      <c r="K16" s="21">
        <f t="shared" si="1"/>
        <v>13829.897029002974</v>
      </c>
      <c r="L16" s="5" t="s">
        <v>24</v>
      </c>
      <c r="M16" s="1">
        <v>-3893.6</v>
      </c>
      <c r="N16" s="4">
        <v>0</v>
      </c>
      <c r="O16" s="4"/>
      <c r="P16" s="25" t="s">
        <v>18</v>
      </c>
      <c r="Q16" s="63">
        <v>510500</v>
      </c>
      <c r="R16" s="64">
        <v>5.1105999999999998</v>
      </c>
      <c r="S16" s="57">
        <v>19.8</v>
      </c>
      <c r="T16" s="58">
        <f t="shared" si="2"/>
        <v>3.8743004735256137</v>
      </c>
      <c r="U16" s="57">
        <v>1.79</v>
      </c>
      <c r="V16" s="58">
        <f t="shared" si="3"/>
        <v>0.35025241654600242</v>
      </c>
      <c r="W16" s="75">
        <f>SUMIF(C:C,"=500ETF",J:J)/SUMIF(C:C,"=500ETF",M:M)*-1</f>
        <v>22.598910086325166</v>
      </c>
      <c r="X16" s="75">
        <f>SUMIF(C:C,"=500ETF",K:K)/SUMIF(C:C,"=500ETF",M:M)*-1</f>
        <v>2.0430327805314166</v>
      </c>
      <c r="Y16" s="59">
        <f>(SUMIF(C:C,"=500ETF",M:M)*-1)/$Q$2</f>
        <v>0.2110085125</v>
      </c>
      <c r="Z16" s="2"/>
    </row>
    <row r="17" spans="1:26">
      <c r="A17" s="3">
        <v>42878</v>
      </c>
      <c r="B17" s="3" t="s">
        <v>6</v>
      </c>
      <c r="C17" s="3" t="s">
        <v>125</v>
      </c>
      <c r="D17" s="3" t="s">
        <v>11</v>
      </c>
      <c r="E17" s="21">
        <v>0.93540000000000001</v>
      </c>
      <c r="F17" s="21">
        <v>0.93540000000000001</v>
      </c>
      <c r="G17" s="20">
        <v>4231.37</v>
      </c>
      <c r="H17" s="21"/>
      <c r="I17" s="21"/>
      <c r="J17" s="21">
        <f t="shared" si="0"/>
        <v>0</v>
      </c>
      <c r="K17" s="21">
        <f t="shared" si="1"/>
        <v>0</v>
      </c>
      <c r="L17" s="7" t="s">
        <v>10</v>
      </c>
      <c r="M17" s="4">
        <v>-3960</v>
      </c>
      <c r="N17" s="4">
        <v>1.98</v>
      </c>
      <c r="O17" s="4"/>
      <c r="P17" s="25" t="s">
        <v>19</v>
      </c>
      <c r="Q17" s="63">
        <v>512100</v>
      </c>
      <c r="R17" s="64">
        <v>0.59740000000000004</v>
      </c>
      <c r="S17" s="57">
        <v>22.73</v>
      </c>
      <c r="T17" s="58">
        <f t="shared" si="2"/>
        <v>38.048208905256111</v>
      </c>
      <c r="U17" s="57">
        <v>2.04</v>
      </c>
      <c r="V17" s="58">
        <f t="shared" si="3"/>
        <v>3.4147974556411111</v>
      </c>
      <c r="W17" s="75">
        <f>SUMIF(C:C,"=1000ETF",J:J)/SUMIF(C:C,"=1000ETF",M:M)*-1</f>
        <v>27.921186306144762</v>
      </c>
      <c r="X17" s="75">
        <f>SUMIF(C:C,"=1000ETF",K:K)/SUMIF(C:C,"=1000ETF",M:M)*-1</f>
        <v>2.5059049742426445</v>
      </c>
      <c r="Y17" s="59">
        <f>(SUMIF(C:C,"=1000ETF",M:M)*-1)/$Q$2</f>
        <v>4.9623162499999998E-2</v>
      </c>
      <c r="Z17" s="2"/>
    </row>
    <row r="18" spans="1:26">
      <c r="A18" s="3">
        <v>42878</v>
      </c>
      <c r="B18" s="3" t="s">
        <v>4</v>
      </c>
      <c r="C18" s="3" t="s">
        <v>130</v>
      </c>
      <c r="D18" s="3" t="s">
        <v>11</v>
      </c>
      <c r="E18" s="21">
        <v>1.149</v>
      </c>
      <c r="F18" s="21">
        <v>2.5390000000000001</v>
      </c>
      <c r="G18" s="20">
        <v>3441.31</v>
      </c>
      <c r="H18" s="21">
        <f>F18*$T$13</f>
        <v>10.632182991647685</v>
      </c>
      <c r="I18" s="21">
        <f>F18*$V$13</f>
        <v>1.2531131359149583</v>
      </c>
      <c r="J18" s="21">
        <f t="shared" si="0"/>
        <v>42103.444646924836</v>
      </c>
      <c r="K18" s="21">
        <f t="shared" si="1"/>
        <v>4962.3280182232347</v>
      </c>
      <c r="L18" s="7" t="s">
        <v>10</v>
      </c>
      <c r="M18" s="4">
        <v>-3960</v>
      </c>
      <c r="N18" s="4">
        <v>5.93</v>
      </c>
      <c r="O18" s="4"/>
      <c r="P18" s="25" t="s">
        <v>179</v>
      </c>
      <c r="Q18" s="63">
        <v>159915</v>
      </c>
      <c r="R18" s="64">
        <v>1.3451</v>
      </c>
      <c r="S18" s="57">
        <v>35.75</v>
      </c>
      <c r="T18" s="58">
        <f t="shared" si="2"/>
        <v>26.577949594825665</v>
      </c>
      <c r="U18" s="57">
        <v>3.55</v>
      </c>
      <c r="V18" s="58">
        <f t="shared" si="3"/>
        <v>2.6392089807449262</v>
      </c>
      <c r="W18" s="75">
        <f>SUMIF(C:C,"=创业板",J:J)/SUMIF(C:C,"=创业板",M:M)*-1</f>
        <v>37.256205640613935</v>
      </c>
      <c r="X18" s="75">
        <f>SUMIF(C:C,"=创业板",K:K)/SUMIF(C:C,"=创业板",M:M)*-1</f>
        <v>3.6995672734036225</v>
      </c>
      <c r="Y18" s="59">
        <f>(SUMIF(C:C,"=创业板",M:M)*-1)/$Q$2</f>
        <v>1.6085612499999999E-2</v>
      </c>
      <c r="Z18" s="2"/>
    </row>
    <row r="19" spans="1:26">
      <c r="A19" s="3">
        <v>43054</v>
      </c>
      <c r="B19" s="3" t="s">
        <v>6</v>
      </c>
      <c r="C19" s="3" t="s">
        <v>131</v>
      </c>
      <c r="D19" s="3" t="s">
        <v>11</v>
      </c>
      <c r="E19" s="21">
        <v>0.93340000000000001</v>
      </c>
      <c r="F19" s="21">
        <v>0.93340000000000001</v>
      </c>
      <c r="G19" s="20">
        <v>4240.43</v>
      </c>
      <c r="H19" s="21"/>
      <c r="I19" s="21"/>
      <c r="J19" s="21">
        <f t="shared" si="0"/>
        <v>0</v>
      </c>
      <c r="K19" s="21">
        <f t="shared" si="1"/>
        <v>0</v>
      </c>
      <c r="L19" s="7" t="s">
        <v>10</v>
      </c>
      <c r="M19" s="4">
        <v>-3960</v>
      </c>
      <c r="N19" s="4">
        <v>1.98</v>
      </c>
      <c r="O19" s="4"/>
      <c r="P19" s="25" t="s">
        <v>180</v>
      </c>
      <c r="Q19" s="63">
        <v>159938</v>
      </c>
      <c r="R19" s="64">
        <v>1.2446999999999999</v>
      </c>
      <c r="S19" s="57">
        <v>28.77</v>
      </c>
      <c r="T19" s="58">
        <f t="shared" si="2"/>
        <v>23.114003374307064</v>
      </c>
      <c r="U19" s="57">
        <v>3.52</v>
      </c>
      <c r="V19" s="58">
        <f t="shared" si="3"/>
        <v>2.8279906804852577</v>
      </c>
      <c r="W19" s="75">
        <f>SUMIF(C:C,"=医药",J:J)/SUMIF(C:C,"=医药",M:M)*-1</f>
        <v>29.393669147742237</v>
      </c>
      <c r="X19" s="75">
        <f>SUMIF(C:C,"=医药",K:K)/SUMIF(C:C,"=医药",M:M)*-1</f>
        <v>3.5963057142875452</v>
      </c>
      <c r="Y19" s="81">
        <f>(SUMIF(C:C,"=医药",M:M)*-1)/$Q$2</f>
        <v>4.5076224999999998E-2</v>
      </c>
      <c r="Z19" s="2"/>
    </row>
    <row r="20" spans="1:26">
      <c r="A20" s="3">
        <v>43063</v>
      </c>
      <c r="B20" s="2" t="s">
        <v>18</v>
      </c>
      <c r="C20" s="2" t="s">
        <v>132</v>
      </c>
      <c r="D20" s="3" t="s">
        <v>11</v>
      </c>
      <c r="E20" s="21">
        <v>6.585</v>
      </c>
      <c r="F20" s="21">
        <v>6.585</v>
      </c>
      <c r="G20" s="20">
        <v>1200</v>
      </c>
      <c r="H20" s="21">
        <f>F20*$T$16</f>
        <v>25.512268618166168</v>
      </c>
      <c r="I20" s="21">
        <f>F20*$V$16</f>
        <v>2.3064121629554259</v>
      </c>
      <c r="J20" s="21">
        <f t="shared" si="0"/>
        <v>201638.25600516575</v>
      </c>
      <c r="K20" s="21">
        <f t="shared" si="1"/>
        <v>18228.913042891247</v>
      </c>
      <c r="L20" s="5" t="s">
        <v>24</v>
      </c>
      <c r="M20" s="1">
        <v>-7903.58</v>
      </c>
      <c r="N20" s="4">
        <v>1.5799999999999272</v>
      </c>
      <c r="O20" s="4"/>
      <c r="P20" s="25" t="s">
        <v>181</v>
      </c>
      <c r="Q20" s="63" t="s">
        <v>190</v>
      </c>
      <c r="R20" s="64">
        <v>0.77180000000000004</v>
      </c>
      <c r="S20" s="57">
        <v>28.77</v>
      </c>
      <c r="T20" s="58">
        <f t="shared" si="2"/>
        <v>37.27649650168437</v>
      </c>
      <c r="U20" s="57">
        <v>3.52</v>
      </c>
      <c r="V20" s="58">
        <f t="shared" si="3"/>
        <v>4.5607670380927701</v>
      </c>
      <c r="W20" s="75">
        <f>SUMIF(C:C,"=医药",J:J)/SUMIF(C:C,"=医药",M:M)*-1</f>
        <v>29.393669147742237</v>
      </c>
      <c r="X20" s="75">
        <f>SUMIF(C:C,"=医药",K:K)/SUMIF(C:C,"=医药",M:M)*-1</f>
        <v>3.5963057142875452</v>
      </c>
      <c r="Y20" s="82"/>
      <c r="Z20" s="2"/>
    </row>
    <row r="21" spans="1:26">
      <c r="A21" s="3">
        <v>43069</v>
      </c>
      <c r="B21" s="3" t="s">
        <v>15</v>
      </c>
      <c r="C21" s="3" t="s">
        <v>133</v>
      </c>
      <c r="D21" s="3" t="s">
        <v>11</v>
      </c>
      <c r="E21" s="21">
        <v>0.76829999999999998</v>
      </c>
      <c r="F21" s="21">
        <v>0.76829999999999998</v>
      </c>
      <c r="G21" s="20">
        <v>5200.07</v>
      </c>
      <c r="H21" s="21">
        <f>F21*$T$24</f>
        <v>29.401265729089562</v>
      </c>
      <c r="I21" s="21">
        <f>F21*$V$24</f>
        <v>2.516452627683198</v>
      </c>
      <c r="J21" s="21">
        <f t="shared" si="0"/>
        <v>117605.06291635825</v>
      </c>
      <c r="K21" s="21">
        <f t="shared" si="1"/>
        <v>10065.810510732792</v>
      </c>
      <c r="L21" s="6" t="s">
        <v>16</v>
      </c>
      <c r="M21" s="4">
        <v>-4000</v>
      </c>
      <c r="N21" s="4">
        <v>4.79</v>
      </c>
      <c r="O21" s="4"/>
      <c r="P21" s="25" t="s">
        <v>182</v>
      </c>
      <c r="Q21" s="63" t="s">
        <v>105</v>
      </c>
      <c r="R21" s="64">
        <v>0.9113</v>
      </c>
      <c r="S21" s="57">
        <v>22.83</v>
      </c>
      <c r="T21" s="58">
        <f t="shared" si="2"/>
        <v>25.05212334028311</v>
      </c>
      <c r="U21" s="57">
        <v>2.9</v>
      </c>
      <c r="V21" s="58">
        <f t="shared" si="3"/>
        <v>3.1822670909689452</v>
      </c>
      <c r="W21" s="75">
        <f>SUMIF(C:C,"=养老",J:J)/SUMIF(C:C,"=养老",M:M)*-1</f>
        <v>24.609610138201177</v>
      </c>
      <c r="X21" s="75">
        <f>SUMIF(C:C,"=养老",K:K)/SUMIF(C:C,"=养老",M:M)*-1</f>
        <v>3.0340931650626422</v>
      </c>
      <c r="Y21" s="59">
        <f>(SUMIF(C:C,"=养老",M:M)*-1)/$Q$2</f>
        <v>5.6750000000000002E-2</v>
      </c>
      <c r="Z21" s="2"/>
    </row>
    <row r="22" spans="1:26">
      <c r="A22" s="3">
        <v>43074</v>
      </c>
      <c r="B22" s="2" t="s">
        <v>18</v>
      </c>
      <c r="C22" s="2" t="s">
        <v>134</v>
      </c>
      <c r="D22" s="3" t="s">
        <v>11</v>
      </c>
      <c r="E22" s="21">
        <v>6.44</v>
      </c>
      <c r="F22" s="21">
        <v>6.44</v>
      </c>
      <c r="G22" s="20">
        <v>600</v>
      </c>
      <c r="H22" s="21">
        <f>F22*$T$16</f>
        <v>24.950495049504955</v>
      </c>
      <c r="I22" s="21">
        <f t="shared" ref="I22:I23" si="4">F22*$V$16</f>
        <v>2.2556255625562556</v>
      </c>
      <c r="J22" s="21">
        <f t="shared" si="0"/>
        <v>96427.924752475257</v>
      </c>
      <c r="K22" s="21">
        <f t="shared" si="1"/>
        <v>8717.4740054005397</v>
      </c>
      <c r="L22" s="5" t="s">
        <v>24</v>
      </c>
      <c r="M22" s="1">
        <v>-3864.77</v>
      </c>
      <c r="N22" s="4">
        <v>0.76999999999998181</v>
      </c>
      <c r="O22" s="4"/>
      <c r="P22" s="25" t="s">
        <v>22</v>
      </c>
      <c r="Q22" s="63">
        <v>512880</v>
      </c>
      <c r="R22" s="64">
        <v>0.72870000000000001</v>
      </c>
      <c r="S22" s="57">
        <v>19.36</v>
      </c>
      <c r="T22" s="58">
        <f t="shared" si="2"/>
        <v>26.567860573624262</v>
      </c>
      <c r="U22" s="57">
        <v>1.22</v>
      </c>
      <c r="V22" s="58">
        <f t="shared" si="3"/>
        <v>1.674214354329628</v>
      </c>
      <c r="W22" s="75">
        <f>SUMIF(C:C,"=证券",J:J)/SUMIF(C:C,"=证券",M:M)*-1</f>
        <v>22.558118524934084</v>
      </c>
      <c r="X22" s="75">
        <f>SUMIF(C:C,"=证券",K:K)/SUMIF(C:C,"=证券",M:M)*-1</f>
        <v>1.4215343285340694</v>
      </c>
      <c r="Y22" s="59">
        <f>(SUMIF(C:C,"=证券",M:M)*-1)/$Q$2</f>
        <v>2.3985175000000001E-2</v>
      </c>
      <c r="Z22" s="2"/>
    </row>
    <row r="23" spans="1:26">
      <c r="A23" s="3">
        <v>43115</v>
      </c>
      <c r="B23" s="2" t="s">
        <v>18</v>
      </c>
      <c r="C23" s="2" t="s">
        <v>135</v>
      </c>
      <c r="D23" s="3" t="s">
        <v>11</v>
      </c>
      <c r="E23" s="21">
        <v>6.5739999999999998</v>
      </c>
      <c r="F23" s="21">
        <v>6.5739999999999998</v>
      </c>
      <c r="G23" s="20">
        <v>600</v>
      </c>
      <c r="H23" s="21">
        <f>F23*$T$16</f>
        <v>25.469651312957385</v>
      </c>
      <c r="I23" s="21">
        <f t="shared" si="4"/>
        <v>2.3025593863734199</v>
      </c>
      <c r="J23" s="21">
        <f t="shared" si="0"/>
        <v>100482.61366336634</v>
      </c>
      <c r="K23" s="21">
        <f t="shared" si="1"/>
        <v>9084.0342655265522</v>
      </c>
      <c r="L23" s="5" t="s">
        <v>24</v>
      </c>
      <c r="M23" s="1">
        <v>-3945.19</v>
      </c>
      <c r="N23" s="4">
        <v>0.78999999999996362</v>
      </c>
      <c r="O23" s="4"/>
      <c r="P23" s="25" t="s">
        <v>20</v>
      </c>
      <c r="Q23" s="63">
        <v>512580</v>
      </c>
      <c r="R23" s="64">
        <v>0.71009999999999995</v>
      </c>
      <c r="S23" s="57">
        <v>20.68</v>
      </c>
      <c r="T23" s="58">
        <f t="shared" si="2"/>
        <v>29.12265878045346</v>
      </c>
      <c r="U23" s="57">
        <v>1.77</v>
      </c>
      <c r="V23" s="58">
        <f t="shared" si="3"/>
        <v>2.4926066751161811</v>
      </c>
      <c r="W23" s="75">
        <f>SUMIF(C:C,"=环保",J:J)/SUMIF(C:C,"=环保",M:M)*-1</f>
        <v>26.204178663494215</v>
      </c>
      <c r="X23" s="75">
        <f>SUMIF(C:C,"=环保",K:K)/SUMIF(C:C,"=环保",M:M)*-1</f>
        <v>2.2428141312565169</v>
      </c>
      <c r="Y23" s="81">
        <f>(SUMIF(C:C,"=环保",M:M)*-1)/$Q$2</f>
        <v>5.2069037499999998E-2</v>
      </c>
      <c r="Z23" s="2"/>
    </row>
    <row r="24" spans="1:26">
      <c r="A24" s="3">
        <v>43119</v>
      </c>
      <c r="B24" s="3" t="s">
        <v>4</v>
      </c>
      <c r="C24" s="3" t="s">
        <v>130</v>
      </c>
      <c r="D24" s="14" t="s">
        <v>51</v>
      </c>
      <c r="E24" s="22">
        <v>1.2150000000000001</v>
      </c>
      <c r="F24" s="22">
        <v>2.8250000000000002</v>
      </c>
      <c r="G24" s="23">
        <v>1085.17</v>
      </c>
      <c r="H24" s="21">
        <f>F24*$T$13</f>
        <v>11.829821564160973</v>
      </c>
      <c r="I24" s="21">
        <f>F24*$V$13</f>
        <v>1.394267274107821</v>
      </c>
      <c r="J24" s="21">
        <f t="shared" si="0"/>
        <v>0</v>
      </c>
      <c r="K24" s="21">
        <f t="shared" si="1"/>
        <v>0</v>
      </c>
      <c r="L24" s="7" t="s">
        <v>10</v>
      </c>
      <c r="M24" s="13">
        <v>0</v>
      </c>
      <c r="N24" s="4">
        <v>0</v>
      </c>
      <c r="O24" s="4"/>
      <c r="P24" s="25" t="s">
        <v>183</v>
      </c>
      <c r="Q24" s="63" t="s">
        <v>106</v>
      </c>
      <c r="R24" s="64">
        <v>0.54039999999999999</v>
      </c>
      <c r="S24" s="57">
        <v>20.68</v>
      </c>
      <c r="T24" s="58">
        <f t="shared" si="2"/>
        <v>38.267949666913395</v>
      </c>
      <c r="U24" s="57">
        <v>1.77</v>
      </c>
      <c r="V24" s="58">
        <f t="shared" si="3"/>
        <v>3.2753515914137679</v>
      </c>
      <c r="W24" s="75">
        <f>SUMIF(C:C,"=环保",J:J)/SUMIF(C:C,"=环保",M:M)*-1</f>
        <v>26.204178663494215</v>
      </c>
      <c r="X24" s="75">
        <f>SUMIF(C:C,"=环保",K:K)/SUMIF(C:C,"=环保",M:M)*-1</f>
        <v>2.2428141312565169</v>
      </c>
      <c r="Y24" s="82"/>
      <c r="Z24" s="2"/>
    </row>
    <row r="25" spans="1:26">
      <c r="A25" s="3">
        <v>43119</v>
      </c>
      <c r="B25" s="2" t="s">
        <v>23</v>
      </c>
      <c r="C25" s="2" t="s">
        <v>136</v>
      </c>
      <c r="D25" s="3" t="s">
        <v>11</v>
      </c>
      <c r="E25" s="21">
        <v>1</v>
      </c>
      <c r="F25" s="21">
        <v>1</v>
      </c>
      <c r="G25" s="20">
        <v>4000</v>
      </c>
      <c r="H25" s="21">
        <f>F25*$T$25</f>
        <v>33.715724678231673</v>
      </c>
      <c r="I25" s="21">
        <f>F25*$V$25</f>
        <v>3.8891997761611639</v>
      </c>
      <c r="J25" s="21">
        <f t="shared" si="0"/>
        <v>134889.8712926693</v>
      </c>
      <c r="K25" s="21">
        <f t="shared" si="1"/>
        <v>15559.910464465585</v>
      </c>
      <c r="L25" s="5" t="s">
        <v>24</v>
      </c>
      <c r="M25" s="1">
        <v>-4000.8</v>
      </c>
      <c r="N25" s="4">
        <v>0.8</v>
      </c>
      <c r="O25" s="4"/>
      <c r="P25" s="25" t="s">
        <v>23</v>
      </c>
      <c r="Q25" s="63">
        <v>512980</v>
      </c>
      <c r="R25" s="64">
        <v>0.71479999999999999</v>
      </c>
      <c r="S25" s="57">
        <v>24.1</v>
      </c>
      <c r="T25" s="58">
        <f t="shared" si="2"/>
        <v>33.715724678231673</v>
      </c>
      <c r="U25" s="57">
        <v>2.78</v>
      </c>
      <c r="V25" s="58">
        <f t="shared" si="3"/>
        <v>3.8891997761611639</v>
      </c>
      <c r="W25" s="75">
        <f>SUMIF(C:C,"=传媒",J:J)/SUMIF(C:C,"=传媒",M:M)*-1</f>
        <v>29.659616752836897</v>
      </c>
      <c r="X25" s="75">
        <f>SUMIF(C:C,"=传媒",K:K)/SUMIF(C:C,"=传媒",M:M)*-1</f>
        <v>3.4213167872567043</v>
      </c>
      <c r="Y25" s="59">
        <f>(SUMIF(C:C,"=传媒",M:M)*-1)/$Q$2</f>
        <v>3.70254125E-2</v>
      </c>
      <c r="Z25" s="2"/>
    </row>
    <row r="26" spans="1:26">
      <c r="A26" s="3">
        <v>43132</v>
      </c>
      <c r="B26" s="2" t="s">
        <v>18</v>
      </c>
      <c r="C26" s="2" t="s">
        <v>137</v>
      </c>
      <c r="D26" s="3" t="s">
        <v>11</v>
      </c>
      <c r="E26" s="21">
        <v>6.45</v>
      </c>
      <c r="F26" s="21">
        <v>6.45</v>
      </c>
      <c r="G26" s="20">
        <v>600</v>
      </c>
      <c r="H26" s="21">
        <f>F26*$T$16</f>
        <v>24.989238054240207</v>
      </c>
      <c r="I26" s="21">
        <f>F26*$V$16</f>
        <v>2.2591280867217156</v>
      </c>
      <c r="J26" s="21">
        <f t="shared" si="0"/>
        <v>96727.592983211362</v>
      </c>
      <c r="K26" s="21">
        <f t="shared" si="1"/>
        <v>8744.5652242398155</v>
      </c>
      <c r="L26" s="5" t="s">
        <v>24</v>
      </c>
      <c r="M26" s="1">
        <v>-3870.77</v>
      </c>
      <c r="N26" s="4">
        <v>0.76999999999998181</v>
      </c>
      <c r="O26" s="4"/>
      <c r="P26" s="66" t="s">
        <v>175</v>
      </c>
      <c r="Q26" s="63" t="s">
        <v>191</v>
      </c>
      <c r="R26" s="64">
        <v>0.89800000000000002</v>
      </c>
      <c r="S26" s="57">
        <v>10.210000000000001</v>
      </c>
      <c r="T26" s="58">
        <f t="shared" ref="T26:T34" si="5">S26/R26</f>
        <v>11.369710467706014</v>
      </c>
      <c r="U26" s="57">
        <v>1.28</v>
      </c>
      <c r="V26" s="58">
        <f t="shared" si="3"/>
        <v>1.4253897550111359</v>
      </c>
      <c r="W26" s="61"/>
      <c r="X26" s="61"/>
      <c r="Y26" s="62"/>
      <c r="Z26" s="2"/>
    </row>
    <row r="27" spans="1:26">
      <c r="A27" s="3">
        <v>43133</v>
      </c>
      <c r="B27" s="3" t="s">
        <v>15</v>
      </c>
      <c r="C27" s="3" t="s">
        <v>138</v>
      </c>
      <c r="D27" s="3" t="s">
        <v>11</v>
      </c>
      <c r="E27" s="21">
        <v>0.69869999999999999</v>
      </c>
      <c r="F27" s="21">
        <v>0.69869999999999999</v>
      </c>
      <c r="G27" s="20">
        <v>5718.06</v>
      </c>
      <c r="H27" s="21">
        <f>F27*$T$24</f>
        <v>26.737816432272389</v>
      </c>
      <c r="I27" s="21">
        <f>F27*$V$24</f>
        <v>2.2884881569207995</v>
      </c>
      <c r="J27" s="21">
        <f t="shared" si="0"/>
        <v>106951.26572908956</v>
      </c>
      <c r="K27" s="21">
        <f t="shared" si="1"/>
        <v>9153.9526276831984</v>
      </c>
      <c r="L27" s="6" t="s">
        <v>16</v>
      </c>
      <c r="M27" s="4">
        <v>-4000</v>
      </c>
      <c r="N27" s="4">
        <v>4.79</v>
      </c>
      <c r="O27" s="4"/>
      <c r="P27" s="66" t="s">
        <v>168</v>
      </c>
      <c r="Q27" s="63" t="s">
        <v>192</v>
      </c>
      <c r="R27" s="64">
        <v>1.8423</v>
      </c>
      <c r="S27" s="57">
        <v>19.8</v>
      </c>
      <c r="T27" s="58">
        <f t="shared" si="5"/>
        <v>10.747435271128481</v>
      </c>
      <c r="U27" s="57">
        <v>1.79</v>
      </c>
      <c r="V27" s="58">
        <f t="shared" si="3"/>
        <v>0.97161157249090813</v>
      </c>
      <c r="W27" s="61"/>
      <c r="X27" s="61"/>
      <c r="Y27" s="62"/>
      <c r="Z27" s="2"/>
    </row>
    <row r="28" spans="1:26">
      <c r="A28" s="3">
        <v>43137</v>
      </c>
      <c r="B28" s="2" t="s">
        <v>18</v>
      </c>
      <c r="C28" s="2" t="s">
        <v>135</v>
      </c>
      <c r="D28" s="3" t="s">
        <v>11</v>
      </c>
      <c r="E28" s="21">
        <v>6.0430000000000001</v>
      </c>
      <c r="F28" s="21">
        <v>6.0430000000000001</v>
      </c>
      <c r="G28" s="20">
        <v>1300</v>
      </c>
      <c r="H28" s="21">
        <f>F28*$T$16</f>
        <v>23.412397761515283</v>
      </c>
      <c r="I28" s="21">
        <f t="shared" ref="I28:I29" si="6">F28*$V$16</f>
        <v>2.1165753531874927</v>
      </c>
      <c r="J28" s="21">
        <f t="shared" si="0"/>
        <v>183962.21303917351</v>
      </c>
      <c r="K28" s="21">
        <f t="shared" si="1"/>
        <v>16630.92734041013</v>
      </c>
      <c r="L28" s="5" t="s">
        <v>24</v>
      </c>
      <c r="M28" s="1">
        <v>-7857.47</v>
      </c>
      <c r="N28" s="4">
        <v>1.5700000000006185</v>
      </c>
      <c r="O28" s="4"/>
      <c r="P28" s="66" t="s">
        <v>169</v>
      </c>
      <c r="Q28" s="63" t="s">
        <v>193</v>
      </c>
      <c r="R28" s="64">
        <v>0.52700000000000002</v>
      </c>
      <c r="S28" s="57">
        <v>19.8</v>
      </c>
      <c r="T28" s="58">
        <f t="shared" si="5"/>
        <v>37.571157495256166</v>
      </c>
      <c r="U28" s="57">
        <v>1.79</v>
      </c>
      <c r="V28" s="58">
        <f t="shared" si="3"/>
        <v>3.3965844402277039</v>
      </c>
      <c r="W28" s="61"/>
      <c r="X28" s="61"/>
      <c r="Y28" s="62"/>
      <c r="Z28" s="2"/>
    </row>
    <row r="29" spans="1:26">
      <c r="A29" s="3">
        <v>43138</v>
      </c>
      <c r="B29" s="2" t="s">
        <v>18</v>
      </c>
      <c r="C29" s="2" t="s">
        <v>135</v>
      </c>
      <c r="D29" s="3" t="s">
        <v>11</v>
      </c>
      <c r="E29" s="21">
        <v>6.0149999999999997</v>
      </c>
      <c r="F29" s="21">
        <v>6.0149999999999997</v>
      </c>
      <c r="G29" s="20">
        <v>8300</v>
      </c>
      <c r="H29" s="21">
        <f>F29*$T$16</f>
        <v>23.303917348256565</v>
      </c>
      <c r="I29" s="21">
        <f t="shared" si="6"/>
        <v>2.1067682855242045</v>
      </c>
      <c r="J29" s="21">
        <f t="shared" si="0"/>
        <v>1163668.9947481705</v>
      </c>
      <c r="K29" s="21">
        <f t="shared" si="1"/>
        <v>105200.37881814268</v>
      </c>
      <c r="L29" s="5" t="s">
        <v>24</v>
      </c>
      <c r="M29" s="1">
        <v>-49934.48</v>
      </c>
      <c r="N29" s="4">
        <v>9.9800000000032014</v>
      </c>
      <c r="O29" s="4"/>
      <c r="P29" s="66" t="s">
        <v>170</v>
      </c>
      <c r="Q29" s="63">
        <v>161017</v>
      </c>
      <c r="R29" s="64">
        <v>1.8460000000000001</v>
      </c>
      <c r="S29" s="57">
        <v>19.8</v>
      </c>
      <c r="T29" s="58">
        <f t="shared" si="5"/>
        <v>10.725893824485373</v>
      </c>
      <c r="U29" s="57">
        <v>1.79</v>
      </c>
      <c r="V29" s="58">
        <f t="shared" si="3"/>
        <v>0.96966413867822321</v>
      </c>
      <c r="W29" s="61"/>
      <c r="X29" s="61"/>
      <c r="Y29" s="62"/>
      <c r="Z29" s="2"/>
    </row>
    <row r="30" spans="1:26">
      <c r="A30" s="3">
        <v>43208</v>
      </c>
      <c r="B30" s="3" t="s">
        <v>4</v>
      </c>
      <c r="C30" s="3" t="s">
        <v>130</v>
      </c>
      <c r="D30" s="3" t="s">
        <v>11</v>
      </c>
      <c r="E30" s="21">
        <v>1.0920000000000001</v>
      </c>
      <c r="F30" s="21">
        <v>2.6869999999999998</v>
      </c>
      <c r="G30" s="20">
        <v>18287.580000000002</v>
      </c>
      <c r="H30" s="21">
        <f>F30*$T$13</f>
        <v>11.251940015186028</v>
      </c>
      <c r="I30" s="21">
        <f>F30*$V$13</f>
        <v>1.3261579347000758</v>
      </c>
      <c r="J30" s="21">
        <f t="shared" si="0"/>
        <v>225038.80030372055</v>
      </c>
      <c r="K30" s="21">
        <f t="shared" si="1"/>
        <v>26523.158694001515</v>
      </c>
      <c r="L30" s="7" t="s">
        <v>10</v>
      </c>
      <c r="M30" s="4">
        <v>-20000</v>
      </c>
      <c r="N30" s="4">
        <v>29.96</v>
      </c>
      <c r="O30" s="4"/>
      <c r="P30" s="66" t="s">
        <v>171</v>
      </c>
      <c r="Q30" s="63" t="s">
        <v>194</v>
      </c>
      <c r="R30" s="64">
        <v>0.8407</v>
      </c>
      <c r="S30" s="57">
        <v>19.8</v>
      </c>
      <c r="T30" s="58">
        <f t="shared" si="5"/>
        <v>23.551802069703818</v>
      </c>
      <c r="U30" s="57">
        <v>1.79</v>
      </c>
      <c r="V30" s="58">
        <f t="shared" si="3"/>
        <v>2.1291780658974666</v>
      </c>
      <c r="W30" s="61"/>
      <c r="X30" s="61"/>
      <c r="Y30" s="62"/>
      <c r="Z30" s="2"/>
    </row>
    <row r="31" spans="1:26">
      <c r="A31" s="3">
        <v>43210</v>
      </c>
      <c r="B31" s="2" t="s">
        <v>19</v>
      </c>
      <c r="C31" s="2" t="s">
        <v>139</v>
      </c>
      <c r="D31" s="3" t="s">
        <v>11</v>
      </c>
      <c r="E31" s="21">
        <v>0.77600000000000002</v>
      </c>
      <c r="F31" s="21">
        <v>0.77600000000000002</v>
      </c>
      <c r="G31" s="20">
        <v>25800</v>
      </c>
      <c r="H31" s="21">
        <f>F31*$T$17</f>
        <v>29.525410110478742</v>
      </c>
      <c r="I31" s="21">
        <f>F31*$V$17</f>
        <v>2.6498828255775022</v>
      </c>
      <c r="J31" s="21">
        <f t="shared" si="0"/>
        <v>591240.43238031468</v>
      </c>
      <c r="K31" s="21">
        <f t="shared" si="1"/>
        <v>53063.373605624365</v>
      </c>
      <c r="L31" s="5" t="s">
        <v>24</v>
      </c>
      <c r="M31" s="1">
        <v>-20024.8</v>
      </c>
      <c r="N31" s="4">
        <v>4</v>
      </c>
      <c r="O31" s="4"/>
      <c r="P31" s="66" t="s">
        <v>172</v>
      </c>
      <c r="Q31" s="63">
        <v>100038</v>
      </c>
      <c r="R31" s="64">
        <v>1.7130000000000001</v>
      </c>
      <c r="S31" s="57">
        <v>11.69</v>
      </c>
      <c r="T31" s="58">
        <f t="shared" si="5"/>
        <v>6.8242848803269114</v>
      </c>
      <c r="U31" s="57">
        <v>1.46</v>
      </c>
      <c r="V31" s="58">
        <f t="shared" si="3"/>
        <v>0.85230589608873319</v>
      </c>
      <c r="W31" s="61"/>
      <c r="X31" s="61"/>
      <c r="Y31" s="62"/>
      <c r="Z31" s="2"/>
    </row>
    <row r="32" spans="1:26">
      <c r="A32" s="3">
        <v>43213</v>
      </c>
      <c r="B32" s="2" t="s">
        <v>19</v>
      </c>
      <c r="C32" s="2" t="s">
        <v>140</v>
      </c>
      <c r="D32" s="3" t="s">
        <v>11</v>
      </c>
      <c r="E32" s="21">
        <v>0.76</v>
      </c>
      <c r="F32" s="21">
        <v>0.76</v>
      </c>
      <c r="G32" s="20">
        <v>13200</v>
      </c>
      <c r="H32" s="21">
        <f>F32*$T$17</f>
        <v>28.916638767994645</v>
      </c>
      <c r="I32" s="21">
        <f>F32*$V$17</f>
        <v>2.5952460662872445</v>
      </c>
      <c r="J32" s="21">
        <f t="shared" si="0"/>
        <v>290149.84256444598</v>
      </c>
      <c r="K32" s="21">
        <f t="shared" si="1"/>
        <v>26040.724981586874</v>
      </c>
      <c r="L32" s="5" t="s">
        <v>24</v>
      </c>
      <c r="M32" s="1">
        <v>-10034.01</v>
      </c>
      <c r="N32" s="4">
        <v>2.0100000000002183</v>
      </c>
      <c r="O32" s="4"/>
      <c r="P32" s="66" t="s">
        <v>173</v>
      </c>
      <c r="Q32" s="63" t="s">
        <v>195</v>
      </c>
      <c r="R32" s="64">
        <v>1.1419999999999999</v>
      </c>
      <c r="S32" s="57">
        <v>11.69</v>
      </c>
      <c r="T32" s="58">
        <f t="shared" si="5"/>
        <v>10.236427320490368</v>
      </c>
      <c r="U32" s="57">
        <v>1.46</v>
      </c>
      <c r="V32" s="58">
        <f t="shared" si="3"/>
        <v>1.2784588441331</v>
      </c>
      <c r="W32" s="61"/>
      <c r="X32" s="61"/>
      <c r="Y32" s="62"/>
      <c r="Z32" s="2"/>
    </row>
    <row r="33" spans="1:26">
      <c r="A33" s="3">
        <v>43216</v>
      </c>
      <c r="B33" s="3" t="s">
        <v>6</v>
      </c>
      <c r="C33" s="3" t="s">
        <v>125</v>
      </c>
      <c r="D33" s="14" t="s">
        <v>12</v>
      </c>
      <c r="E33" s="22">
        <v>0.96879999999999999</v>
      </c>
      <c r="F33" s="22">
        <v>0.96879999999999999</v>
      </c>
      <c r="G33" s="23">
        <v>4205.5</v>
      </c>
      <c r="H33" s="21"/>
      <c r="I33" s="21"/>
      <c r="J33" s="21">
        <f t="shared" si="0"/>
        <v>0</v>
      </c>
      <c r="K33" s="21">
        <f t="shared" si="1"/>
        <v>0</v>
      </c>
      <c r="L33" s="7" t="s">
        <v>10</v>
      </c>
      <c r="M33" s="13">
        <v>4072.25</v>
      </c>
      <c r="N33" s="4">
        <v>2.04</v>
      </c>
      <c r="O33" s="4"/>
      <c r="P33" s="66" t="s">
        <v>174</v>
      </c>
      <c r="Q33" s="63" t="s">
        <v>113</v>
      </c>
      <c r="R33" s="64">
        <v>0.71040000000000003</v>
      </c>
      <c r="S33" s="57">
        <v>24.1</v>
      </c>
      <c r="T33" s="58">
        <f t="shared" si="5"/>
        <v>33.924549549549553</v>
      </c>
      <c r="U33" s="57">
        <v>2.78</v>
      </c>
      <c r="V33" s="58">
        <f t="shared" si="3"/>
        <v>3.913288288288288</v>
      </c>
      <c r="W33" s="61"/>
      <c r="X33" s="61"/>
      <c r="Y33" s="62"/>
      <c r="Z33" s="2"/>
    </row>
    <row r="34" spans="1:26">
      <c r="A34" s="3">
        <v>43216</v>
      </c>
      <c r="B34" s="3" t="s">
        <v>15</v>
      </c>
      <c r="C34" s="3" t="s">
        <v>141</v>
      </c>
      <c r="D34" s="3" t="s">
        <v>11</v>
      </c>
      <c r="E34" s="21">
        <v>0.68720000000000003</v>
      </c>
      <c r="F34" s="21">
        <v>0.68720000000000003</v>
      </c>
      <c r="G34" s="20">
        <v>5813.75</v>
      </c>
      <c r="H34" s="21">
        <f>F34*$T$24</f>
        <v>26.297735011102887</v>
      </c>
      <c r="I34" s="21">
        <f>F34*$V$24</f>
        <v>2.2508216136195416</v>
      </c>
      <c r="J34" s="21">
        <f t="shared" si="0"/>
        <v>105190.94004441155</v>
      </c>
      <c r="K34" s="21">
        <f t="shared" si="1"/>
        <v>9003.286454478166</v>
      </c>
      <c r="L34" s="6" t="s">
        <v>16</v>
      </c>
      <c r="M34" s="4">
        <v>-4000</v>
      </c>
      <c r="N34" s="4">
        <v>4.79</v>
      </c>
      <c r="O34" s="4"/>
      <c r="P34" s="25" t="s">
        <v>184</v>
      </c>
      <c r="Q34" s="63" t="s">
        <v>196</v>
      </c>
      <c r="R34" s="64">
        <v>0.93020000000000003</v>
      </c>
      <c r="S34" s="57">
        <v>10.98</v>
      </c>
      <c r="T34" s="58">
        <f t="shared" si="5"/>
        <v>11.803913136959794</v>
      </c>
      <c r="U34" s="57">
        <v>1.18</v>
      </c>
      <c r="V34" s="58">
        <f t="shared" si="3"/>
        <v>1.2685443990539669</v>
      </c>
      <c r="W34" s="75">
        <f>SUMIF(C:C,"=金融地产",J:J)/SUMIF(C:C,"=金融地产",M:M)*-1</f>
        <v>10.718740055901957</v>
      </c>
      <c r="X34" s="75">
        <f>SUMIF(C:C,"=金融地产",K:K)/SUMIF(C:C,"=金融地产",M:M)*-1</f>
        <v>1.1519228839676054</v>
      </c>
      <c r="Y34" s="59">
        <f>(SUMIF(C:C,"=金融地产",M:M)*-1)/$Q$2</f>
        <v>2.4E-2</v>
      </c>
      <c r="Z34" s="2"/>
    </row>
    <row r="35" spans="1:26">
      <c r="A35" s="3">
        <v>43216</v>
      </c>
      <c r="B35" s="2" t="s">
        <v>20</v>
      </c>
      <c r="C35" s="2" t="s">
        <v>141</v>
      </c>
      <c r="D35" s="3" t="s">
        <v>11</v>
      </c>
      <c r="E35" s="21">
        <v>0.89900000000000002</v>
      </c>
      <c r="F35" s="21">
        <v>0.89900000000000002</v>
      </c>
      <c r="G35" s="20">
        <v>4500</v>
      </c>
      <c r="H35" s="21">
        <f>F35*$T$23</f>
        <v>26.181270243627662</v>
      </c>
      <c r="I35" s="21">
        <f>F35*$V$23</f>
        <v>2.240853400929447</v>
      </c>
      <c r="J35" s="21">
        <f t="shared" si="0"/>
        <v>105937.53559949304</v>
      </c>
      <c r="K35" s="21">
        <f t="shared" si="1"/>
        <v>9067.1875247148309</v>
      </c>
      <c r="L35" s="5" t="s">
        <v>24</v>
      </c>
      <c r="M35" s="1">
        <v>-4046.31</v>
      </c>
      <c r="N35" s="4">
        <v>0.80999999999994543</v>
      </c>
      <c r="O35" s="4"/>
      <c r="P35" s="25" t="s">
        <v>185</v>
      </c>
      <c r="Q35" s="63" t="s">
        <v>197</v>
      </c>
      <c r="R35" s="65">
        <v>1.2090000000000001</v>
      </c>
      <c r="S35" s="2"/>
      <c r="T35" s="2"/>
      <c r="U35" s="74"/>
      <c r="V35" s="74"/>
      <c r="W35" s="3"/>
      <c r="X35" s="3"/>
      <c r="Y35" s="59">
        <f>(SUMIF(C:C,"=德国30",M:M)*-1)/$Q$2</f>
        <v>1.225E-2</v>
      </c>
    </row>
    <row r="36" spans="1:26">
      <c r="A36" s="3">
        <v>43234</v>
      </c>
      <c r="B36" s="3" t="s">
        <v>7</v>
      </c>
      <c r="C36" s="3" t="s">
        <v>142</v>
      </c>
      <c r="D36" s="3" t="s">
        <v>11</v>
      </c>
      <c r="E36" s="21">
        <v>1.173</v>
      </c>
      <c r="F36" s="21">
        <v>1.337</v>
      </c>
      <c r="G36" s="20">
        <v>21806.94</v>
      </c>
      <c r="H36" s="21"/>
      <c r="I36" s="21"/>
      <c r="J36" s="21">
        <f t="shared" si="0"/>
        <v>0</v>
      </c>
      <c r="K36" s="21">
        <f t="shared" si="1"/>
        <v>0</v>
      </c>
      <c r="L36" s="7" t="s">
        <v>10</v>
      </c>
      <c r="M36" s="4">
        <v>-25600</v>
      </c>
      <c r="N36" s="4">
        <f>10.23*2</f>
        <v>20.46</v>
      </c>
      <c r="O36" s="4"/>
      <c r="P36" s="25" t="s">
        <v>186</v>
      </c>
      <c r="Q36" s="63" t="s">
        <v>107</v>
      </c>
      <c r="R36" s="64">
        <v>1.5065</v>
      </c>
      <c r="S36" s="57">
        <v>11.43</v>
      </c>
      <c r="T36" s="58">
        <f>S36/R36</f>
        <v>7.5871224692997012</v>
      </c>
      <c r="U36" s="58"/>
      <c r="V36" s="58"/>
      <c r="W36" s="2"/>
      <c r="X36" s="74"/>
      <c r="Y36" s="59">
        <v>0</v>
      </c>
    </row>
    <row r="37" spans="1:26">
      <c r="A37" s="3">
        <v>43235</v>
      </c>
      <c r="B37" s="2" t="s">
        <v>23</v>
      </c>
      <c r="C37" s="2" t="s">
        <v>143</v>
      </c>
      <c r="D37" s="3" t="s">
        <v>11</v>
      </c>
      <c r="E37" s="21">
        <v>0.94599999999999995</v>
      </c>
      <c r="F37" s="21">
        <v>0.94599999999999995</v>
      </c>
      <c r="G37" s="20">
        <v>6800</v>
      </c>
      <c r="H37" s="21">
        <f>F37*$T$25</f>
        <v>31.89507554560716</v>
      </c>
      <c r="I37" s="21">
        <f>F37*$V$25</f>
        <v>3.6791829882484608</v>
      </c>
      <c r="J37" s="21">
        <f t="shared" si="0"/>
        <v>205215.78661723557</v>
      </c>
      <c r="K37" s="21">
        <f t="shared" si="1"/>
        <v>23672.194472859541</v>
      </c>
      <c r="L37" s="5" t="s">
        <v>24</v>
      </c>
      <c r="M37" s="1">
        <v>-6434.09</v>
      </c>
      <c r="N37" s="4">
        <v>1.2899999999999636</v>
      </c>
      <c r="O37" s="4"/>
      <c r="P37" s="25" t="s">
        <v>187</v>
      </c>
      <c r="Q37" s="63" t="s">
        <v>198</v>
      </c>
      <c r="R37" s="64">
        <v>0.99880000000000002</v>
      </c>
      <c r="S37" s="2"/>
      <c r="T37" s="2"/>
      <c r="U37" s="74"/>
      <c r="V37" s="74"/>
      <c r="W37" s="2"/>
      <c r="X37" s="74"/>
      <c r="Y37" s="59">
        <f>(SUMIF(C:C,"=国债",M:M)*-1)/$Q$2</f>
        <v>4.2190250000000004E-3</v>
      </c>
    </row>
    <row r="38" spans="1:26">
      <c r="A38" s="3">
        <v>43235</v>
      </c>
      <c r="B38" s="2" t="s">
        <v>20</v>
      </c>
      <c r="C38" s="2" t="s">
        <v>141</v>
      </c>
      <c r="D38" s="3" t="s">
        <v>11</v>
      </c>
      <c r="E38" s="21">
        <v>0.91800000000000004</v>
      </c>
      <c r="F38" s="21">
        <v>0.91800000000000004</v>
      </c>
      <c r="G38" s="20">
        <v>20900</v>
      </c>
      <c r="H38" s="21">
        <f>F38*$T$23</f>
        <v>26.734600760456278</v>
      </c>
      <c r="I38" s="21">
        <f>F38*$V$23</f>
        <v>2.2882129277566543</v>
      </c>
      <c r="J38" s="21">
        <f t="shared" si="0"/>
        <v>513038.0579771864</v>
      </c>
      <c r="K38" s="21">
        <f t="shared" si="1"/>
        <v>43910.897612167311</v>
      </c>
      <c r="L38" s="5" t="s">
        <v>24</v>
      </c>
      <c r="M38" s="1">
        <v>-19190.04</v>
      </c>
      <c r="N38" s="4">
        <v>3.8400000000001455</v>
      </c>
      <c r="O38" s="4"/>
      <c r="P38" s="25" t="s">
        <v>188</v>
      </c>
      <c r="Q38" s="63" t="s">
        <v>199</v>
      </c>
      <c r="R38" s="64">
        <v>1.419</v>
      </c>
      <c r="S38" s="2"/>
      <c r="T38" s="2"/>
      <c r="U38" s="74"/>
      <c r="V38" s="74"/>
      <c r="W38" s="2"/>
      <c r="X38" s="74"/>
      <c r="Y38" s="59">
        <f>(SUMIF(C:C,"=海外债",M:M)*-1)/$Q$2</f>
        <v>2.3474862499999999E-2</v>
      </c>
    </row>
    <row r="39" spans="1:26">
      <c r="A39" s="3">
        <v>43235</v>
      </c>
      <c r="B39" s="2" t="s">
        <v>21</v>
      </c>
      <c r="C39" s="2" t="s">
        <v>144</v>
      </c>
      <c r="D39" s="3" t="s">
        <v>11</v>
      </c>
      <c r="E39" s="21">
        <v>2.6840000000000002</v>
      </c>
      <c r="F39" s="21">
        <v>2.6840000000000002</v>
      </c>
      <c r="G39" s="20">
        <v>2400</v>
      </c>
      <c r="H39" s="21"/>
      <c r="I39" s="21"/>
      <c r="J39" s="21">
        <f t="shared" si="0"/>
        <v>0</v>
      </c>
      <c r="K39" s="21">
        <f t="shared" si="1"/>
        <v>0</v>
      </c>
      <c r="L39" s="5" t="s">
        <v>24</v>
      </c>
      <c r="M39" s="1">
        <v>-6442.89</v>
      </c>
      <c r="N39" s="4">
        <v>1.2899999999999636</v>
      </c>
      <c r="O39" s="4"/>
      <c r="P39" s="25" t="s">
        <v>189</v>
      </c>
      <c r="Q39" s="63">
        <v>340001</v>
      </c>
      <c r="R39" s="64">
        <v>3.6351</v>
      </c>
      <c r="S39" s="2"/>
      <c r="T39" s="2"/>
      <c r="U39" s="74"/>
      <c r="V39" s="74"/>
      <c r="W39" s="2"/>
      <c r="X39" s="74"/>
      <c r="Y39" s="59">
        <f>(SUMIF(C:C,"=可转债",M:M)*-1)/$Q$2</f>
        <v>2.4E-2</v>
      </c>
    </row>
    <row r="40" spans="1:26">
      <c r="A40" s="3">
        <v>43235</v>
      </c>
      <c r="B40" s="2" t="s">
        <v>22</v>
      </c>
      <c r="C40" s="2" t="s">
        <v>145</v>
      </c>
      <c r="D40" s="3" t="s">
        <v>11</v>
      </c>
      <c r="E40" s="21">
        <v>0.88900000000000001</v>
      </c>
      <c r="F40" s="21">
        <v>0.88900000000000001</v>
      </c>
      <c r="G40" s="20">
        <v>14400</v>
      </c>
      <c r="H40" s="21">
        <f>F40*$T$22</f>
        <v>23.618828049951968</v>
      </c>
      <c r="I40" s="21">
        <f>F40*$V$22</f>
        <v>1.4883765609990394</v>
      </c>
      <c r="J40" s="21">
        <f t="shared" si="0"/>
        <v>302419.253364073</v>
      </c>
      <c r="K40" s="21">
        <f t="shared" si="1"/>
        <v>19057.411627281461</v>
      </c>
      <c r="L40" s="5" t="s">
        <v>24</v>
      </c>
      <c r="M40" s="1">
        <v>-12804.16</v>
      </c>
      <c r="N40" s="4">
        <v>2.5599999999994907</v>
      </c>
      <c r="O40" s="4"/>
      <c r="P40" s="25" t="s">
        <v>21</v>
      </c>
      <c r="Q40" s="63">
        <v>518880</v>
      </c>
      <c r="R40" s="64">
        <v>0.99129999999999996</v>
      </c>
      <c r="S40" s="2"/>
      <c r="T40" s="2"/>
      <c r="U40" s="74"/>
      <c r="V40" s="74"/>
      <c r="W40" s="2"/>
      <c r="X40" s="74"/>
      <c r="Y40" s="59">
        <f>(SUMIF(C:C,"=黄金",M:M)*-1)/$Q$2</f>
        <v>8.0536124999999997E-3</v>
      </c>
    </row>
    <row r="41" spans="1:26">
      <c r="A41" s="3">
        <v>43245</v>
      </c>
      <c r="B41" s="2" t="s">
        <v>23</v>
      </c>
      <c r="C41" s="2" t="s">
        <v>143</v>
      </c>
      <c r="D41" s="3" t="s">
        <v>11</v>
      </c>
      <c r="E41" s="21">
        <v>0.94599999999999995</v>
      </c>
      <c r="F41" s="21">
        <v>0.94599999999999995</v>
      </c>
      <c r="G41" s="20">
        <v>6800</v>
      </c>
      <c r="H41" s="21">
        <f>F41*$T$25</f>
        <v>31.89507554560716</v>
      </c>
      <c r="I41" s="21">
        <f>F41*$V$25</f>
        <v>3.6791829882484608</v>
      </c>
      <c r="J41" s="21">
        <f t="shared" si="0"/>
        <v>205215.78661723557</v>
      </c>
      <c r="K41" s="21">
        <f t="shared" si="1"/>
        <v>23672.194472859541</v>
      </c>
      <c r="L41" s="5" t="s">
        <v>24</v>
      </c>
      <c r="M41" s="1">
        <v>-6434.09</v>
      </c>
      <c r="N41" s="4">
        <v>1.29</v>
      </c>
      <c r="O41" s="4"/>
      <c r="P41" s="25" t="s">
        <v>65</v>
      </c>
      <c r="Q41" s="63"/>
      <c r="R41" s="64"/>
      <c r="S41" s="2"/>
      <c r="T41" s="2"/>
      <c r="U41" s="74"/>
      <c r="V41" s="74"/>
      <c r="W41" s="2"/>
      <c r="X41" s="74"/>
      <c r="Y41" s="59">
        <f>(SUMIF(C:C,"=白银",M:M)*-1)/$Q$2</f>
        <v>1.4392650000000002E-2</v>
      </c>
    </row>
    <row r="42" spans="1:26">
      <c r="A42" s="3">
        <v>43250</v>
      </c>
      <c r="B42" s="2" t="s">
        <v>18</v>
      </c>
      <c r="C42" s="2" t="s">
        <v>135</v>
      </c>
      <c r="D42" s="3" t="s">
        <v>11</v>
      </c>
      <c r="E42" s="21">
        <v>6.0039999999999996</v>
      </c>
      <c r="F42" s="21">
        <v>6.0039999999999996</v>
      </c>
      <c r="G42" s="20">
        <v>1100</v>
      </c>
      <c r="H42" s="21">
        <f>F42*$T$16</f>
        <v>23.261300043047783</v>
      </c>
      <c r="I42" s="21">
        <f>F42*$V$16</f>
        <v>2.1029155089421985</v>
      </c>
      <c r="J42" s="21">
        <f t="shared" si="0"/>
        <v>153657.6349203616</v>
      </c>
      <c r="K42" s="21">
        <f t="shared" si="1"/>
        <v>13891.27103572966</v>
      </c>
      <c r="L42" s="5" t="s">
        <v>24</v>
      </c>
      <c r="M42" s="1">
        <v>-6605.72</v>
      </c>
      <c r="N42" s="4">
        <v>1.32</v>
      </c>
      <c r="O42" s="4"/>
      <c r="P42" s="25" t="s">
        <v>66</v>
      </c>
      <c r="Q42" s="63"/>
      <c r="R42" s="2"/>
      <c r="S42" s="2"/>
      <c r="T42" s="2"/>
      <c r="U42" s="74"/>
      <c r="V42" s="74"/>
      <c r="W42" s="2"/>
      <c r="X42" s="74"/>
      <c r="Y42" s="59">
        <f>1-SUM(Y13:Y41)</f>
        <v>0.29117534999999983</v>
      </c>
    </row>
    <row r="43" spans="1:26">
      <c r="A43" s="3">
        <v>43251</v>
      </c>
      <c r="B43" s="2" t="s">
        <v>31</v>
      </c>
      <c r="C43" s="2" t="s">
        <v>146</v>
      </c>
      <c r="D43" s="3" t="s">
        <v>11</v>
      </c>
      <c r="E43" s="21">
        <v>1.0365</v>
      </c>
      <c r="F43" s="21">
        <v>3.6615000000000002</v>
      </c>
      <c r="G43" s="20">
        <v>6168.46</v>
      </c>
      <c r="H43" s="21"/>
      <c r="I43" s="21"/>
      <c r="J43" s="21">
        <f t="shared" si="0"/>
        <v>0</v>
      </c>
      <c r="K43" s="21">
        <f t="shared" si="1"/>
        <v>0</v>
      </c>
      <c r="L43" s="7" t="s">
        <v>10</v>
      </c>
      <c r="M43" s="1">
        <v>-6400</v>
      </c>
      <c r="N43" s="4">
        <v>6.39</v>
      </c>
      <c r="O43" s="4"/>
      <c r="P43" s="2"/>
      <c r="Q43" s="2"/>
      <c r="R43" s="2"/>
      <c r="S43" s="2"/>
      <c r="T43" s="2"/>
      <c r="U43" s="2"/>
      <c r="V43" s="74"/>
      <c r="W43" s="2"/>
    </row>
    <row r="44" spans="1:26">
      <c r="A44" s="3">
        <v>43265</v>
      </c>
      <c r="B44" s="2" t="s">
        <v>18</v>
      </c>
      <c r="C44" s="2" t="s">
        <v>135</v>
      </c>
      <c r="D44" s="3" t="s">
        <v>11</v>
      </c>
      <c r="E44" s="21">
        <v>5.9080000000000004</v>
      </c>
      <c r="F44" s="21">
        <v>5.9080000000000004</v>
      </c>
      <c r="G44" s="20">
        <v>1100</v>
      </c>
      <c r="H44" s="21">
        <f>F44*$T$16</f>
        <v>22.889367197589326</v>
      </c>
      <c r="I44" s="21">
        <f>F44*$V$16</f>
        <v>2.0692912769537823</v>
      </c>
      <c r="J44" s="21">
        <f t="shared" si="0"/>
        <v>148783.17572105039</v>
      </c>
      <c r="K44" s="21">
        <f t="shared" si="1"/>
        <v>13450.600229327281</v>
      </c>
      <c r="L44" s="5" t="s">
        <v>24</v>
      </c>
      <c r="M44" s="1">
        <v>-6500.1</v>
      </c>
      <c r="N44" s="4">
        <v>1.3</v>
      </c>
      <c r="O44" s="4"/>
      <c r="P44" s="2"/>
      <c r="Q44" s="2"/>
      <c r="R44" s="2" t="s">
        <v>119</v>
      </c>
      <c r="S44" s="2"/>
      <c r="T44" s="2"/>
      <c r="U44" s="2"/>
      <c r="V44" s="74"/>
      <c r="W44" s="2"/>
    </row>
    <row r="45" spans="1:26">
      <c r="A45" s="3">
        <v>43265</v>
      </c>
      <c r="B45" s="17" t="s">
        <v>32</v>
      </c>
      <c r="C45" s="17" t="s">
        <v>147</v>
      </c>
      <c r="D45" s="3" t="s">
        <v>11</v>
      </c>
      <c r="E45" s="21">
        <v>0.94399999999999995</v>
      </c>
      <c r="F45" s="21">
        <v>0.94399999999999995</v>
      </c>
      <c r="G45" s="20">
        <v>6771.54</v>
      </c>
      <c r="H45" s="21">
        <f>F45*$T$34</f>
        <v>11.142894001290045</v>
      </c>
      <c r="I45" s="21">
        <f>F45*$V$34</f>
        <v>1.1975059127069447</v>
      </c>
      <c r="J45" s="21">
        <f t="shared" si="0"/>
        <v>71314.521608256298</v>
      </c>
      <c r="K45" s="21">
        <f t="shared" si="1"/>
        <v>7664.0378413244462</v>
      </c>
      <c r="L45" s="7" t="s">
        <v>10</v>
      </c>
      <c r="M45" s="1">
        <v>-6400</v>
      </c>
      <c r="N45" s="4">
        <v>7.67</v>
      </c>
      <c r="O45" s="4"/>
      <c r="P45" s="2"/>
      <c r="Q45" s="2" t="s">
        <v>163</v>
      </c>
      <c r="R45" s="2" t="s">
        <v>161</v>
      </c>
      <c r="S45" s="2" t="s">
        <v>162</v>
      </c>
      <c r="T45" s="2" t="s">
        <v>164</v>
      </c>
      <c r="U45" s="2" t="s">
        <v>165</v>
      </c>
      <c r="V45" s="74"/>
      <c r="W45" s="2"/>
    </row>
    <row r="46" spans="1:26">
      <c r="A46" s="3">
        <v>43266</v>
      </c>
      <c r="B46" s="2" t="s">
        <v>18</v>
      </c>
      <c r="C46" s="2" t="s">
        <v>132</v>
      </c>
      <c r="D46" s="3" t="s">
        <v>11</v>
      </c>
      <c r="E46" s="21">
        <v>5.8010000000000002</v>
      </c>
      <c r="F46" s="21">
        <v>5.8010000000000002</v>
      </c>
      <c r="G46" s="20">
        <v>3300</v>
      </c>
      <c r="H46" s="21">
        <f>F46*$T$16</f>
        <v>22.474817046922087</v>
      </c>
      <c r="I46" s="21">
        <f>F46*$V$16</f>
        <v>2.0318142683833602</v>
      </c>
      <c r="J46" s="21">
        <f t="shared" si="0"/>
        <v>430328.24372363335</v>
      </c>
      <c r="K46" s="21">
        <f t="shared" si="1"/>
        <v>38903.411932591087</v>
      </c>
      <c r="L46" s="5" t="s">
        <v>24</v>
      </c>
      <c r="M46" s="1">
        <v>-19147.13</v>
      </c>
      <c r="N46" s="4">
        <v>3.83</v>
      </c>
      <c r="O46" s="4"/>
      <c r="P46" s="3">
        <v>43101</v>
      </c>
      <c r="Q46" s="2">
        <v>0</v>
      </c>
      <c r="R46" s="2">
        <v>93506.63</v>
      </c>
      <c r="S46" s="2">
        <f>$Q$2-R46</f>
        <v>706493.37</v>
      </c>
      <c r="T46" s="2">
        <v>0</v>
      </c>
      <c r="U46" s="60">
        <v>3.5000000000000003E-2</v>
      </c>
      <c r="V46" s="60"/>
      <c r="W46" s="2"/>
    </row>
    <row r="47" spans="1:26">
      <c r="A47" s="3">
        <v>43270</v>
      </c>
      <c r="B47" s="2" t="s">
        <v>40</v>
      </c>
      <c r="C47" s="2" t="s">
        <v>148</v>
      </c>
      <c r="D47" s="3" t="s">
        <v>11</v>
      </c>
      <c r="E47" s="21">
        <v>3.6429999999999998</v>
      </c>
      <c r="F47" s="21">
        <v>3.6429999999999998</v>
      </c>
      <c r="G47" s="20">
        <v>1800</v>
      </c>
      <c r="H47" s="21">
        <f>F47*$T$15</f>
        <v>12.142987083345213</v>
      </c>
      <c r="I47" s="21">
        <f>F47*$V$15</f>
        <v>1.516574947962704</v>
      </c>
      <c r="J47" s="21">
        <f t="shared" si="0"/>
        <v>79642.330813407083</v>
      </c>
      <c r="K47" s="21">
        <f t="shared" si="1"/>
        <v>9946.7752769524668</v>
      </c>
      <c r="L47" s="5" t="s">
        <v>24</v>
      </c>
      <c r="M47" s="1">
        <v>-6558.71</v>
      </c>
      <c r="N47" s="4">
        <v>1.31</v>
      </c>
      <c r="O47" s="4"/>
      <c r="P47" s="3">
        <v>43132</v>
      </c>
      <c r="Q47" s="50">
        <v>6627.55</v>
      </c>
      <c r="R47" s="50">
        <f>R46+Q47</f>
        <v>100134.18000000001</v>
      </c>
      <c r="S47" s="50">
        <f>S46-Q47</f>
        <v>699865.82</v>
      </c>
      <c r="T47" s="50">
        <f>(S46*$U$46)/12</f>
        <v>2060.6056625000001</v>
      </c>
      <c r="U47" s="2"/>
      <c r="V47" s="74"/>
      <c r="W47" s="2"/>
    </row>
    <row r="48" spans="1:26">
      <c r="A48" s="3">
        <v>43270</v>
      </c>
      <c r="B48" s="2" t="s">
        <v>18</v>
      </c>
      <c r="C48" s="2" t="s">
        <v>135</v>
      </c>
      <c r="D48" s="3" t="s">
        <v>11</v>
      </c>
      <c r="E48" s="21">
        <v>5.5250000000000004</v>
      </c>
      <c r="F48" s="21">
        <v>5.5250000000000004</v>
      </c>
      <c r="G48" s="20">
        <v>2300</v>
      </c>
      <c r="H48" s="21">
        <f>F48*$T$16</f>
        <v>21.405510116229017</v>
      </c>
      <c r="I48" s="21">
        <f t="shared" ref="I48:I49" si="7">F48*$V$16</f>
        <v>1.9351446014166636</v>
      </c>
      <c r="J48" s="21">
        <f t="shared" si="0"/>
        <v>272064.88979767548</v>
      </c>
      <c r="K48" s="21">
        <f t="shared" si="1"/>
        <v>24595.765289789852</v>
      </c>
      <c r="L48" s="5" t="s">
        <v>24</v>
      </c>
      <c r="M48" s="1">
        <v>-12710.04</v>
      </c>
      <c r="N48" s="4">
        <v>2.54</v>
      </c>
      <c r="O48" s="4"/>
      <c r="P48" s="3">
        <v>43160</v>
      </c>
      <c r="Q48" s="50">
        <v>65662.720000000001</v>
      </c>
      <c r="R48" s="50">
        <f>R47+Q48</f>
        <v>165796.90000000002</v>
      </c>
      <c r="S48" s="50">
        <f>S47-Q48</f>
        <v>634203.1</v>
      </c>
      <c r="T48" s="50">
        <f t="shared" ref="T48:T53" si="8">(S47*$U$46)/12</f>
        <v>2041.2753083333334</v>
      </c>
      <c r="U48" s="2"/>
      <c r="V48" s="74"/>
      <c r="W48" s="2"/>
    </row>
    <row r="49" spans="1:23">
      <c r="A49" s="3">
        <v>43270</v>
      </c>
      <c r="B49" s="2" t="s">
        <v>18</v>
      </c>
      <c r="C49" s="2" t="s">
        <v>155</v>
      </c>
      <c r="D49" s="3" t="s">
        <v>11</v>
      </c>
      <c r="E49" s="21">
        <v>5.4130000000000003</v>
      </c>
      <c r="F49" s="21">
        <v>5.4130000000000003</v>
      </c>
      <c r="G49" s="20">
        <v>1200</v>
      </c>
      <c r="H49" s="21">
        <f>F49*$T$16</f>
        <v>20.971588463194148</v>
      </c>
      <c r="I49" s="21">
        <f t="shared" si="7"/>
        <v>1.8959163307635112</v>
      </c>
      <c r="J49" s="21">
        <f t="shared" si="0"/>
        <v>136250.31308652606</v>
      </c>
      <c r="K49" s="21">
        <f t="shared" si="1"/>
        <v>12317.578809337456</v>
      </c>
      <c r="L49" s="5" t="s">
        <v>24</v>
      </c>
      <c r="M49" s="1">
        <v>-6496.9</v>
      </c>
      <c r="N49" s="4">
        <v>1.3</v>
      </c>
      <c r="O49" s="4"/>
      <c r="P49" s="3">
        <v>43191</v>
      </c>
      <c r="Q49" s="50">
        <v>0</v>
      </c>
      <c r="R49" s="50">
        <f t="shared" ref="R49:R54" si="9">R48+Q49</f>
        <v>165796.90000000002</v>
      </c>
      <c r="S49" s="50">
        <f t="shared" ref="S49:S54" si="10">S48-Q49</f>
        <v>634203.1</v>
      </c>
      <c r="T49" s="50">
        <f>(S48*$U$46)/12</f>
        <v>1849.7590416666669</v>
      </c>
      <c r="U49" s="2"/>
      <c r="V49" s="74"/>
      <c r="W49" s="2"/>
    </row>
    <row r="50" spans="1:23">
      <c r="A50" s="3">
        <v>43270</v>
      </c>
      <c r="B50" s="2" t="s">
        <v>31</v>
      </c>
      <c r="C50" s="2" t="s">
        <v>146</v>
      </c>
      <c r="D50" s="3" t="s">
        <v>11</v>
      </c>
      <c r="E50" s="21">
        <v>1.004</v>
      </c>
      <c r="F50" s="21">
        <v>3.629</v>
      </c>
      <c r="G50" s="20">
        <v>6368.13</v>
      </c>
      <c r="H50" s="21"/>
      <c r="I50" s="21"/>
      <c r="J50" s="21">
        <f t="shared" si="0"/>
        <v>0</v>
      </c>
      <c r="K50" s="21">
        <f t="shared" si="1"/>
        <v>0</v>
      </c>
      <c r="L50" s="7" t="s">
        <v>10</v>
      </c>
      <c r="M50" s="1">
        <v>-6400</v>
      </c>
      <c r="N50" s="4">
        <v>6.39</v>
      </c>
      <c r="O50" s="4"/>
      <c r="P50" s="3">
        <v>43221</v>
      </c>
      <c r="Q50" s="50">
        <v>54032.87</v>
      </c>
      <c r="R50" s="50">
        <f t="shared" si="9"/>
        <v>219829.77000000002</v>
      </c>
      <c r="S50" s="50">
        <f t="shared" si="10"/>
        <v>580170.23</v>
      </c>
      <c r="T50" s="50">
        <f t="shared" si="8"/>
        <v>1849.7590416666669</v>
      </c>
      <c r="U50" s="2"/>
      <c r="V50" s="74"/>
      <c r="W50" s="2"/>
    </row>
    <row r="51" spans="1:23">
      <c r="A51" s="3">
        <v>43270</v>
      </c>
      <c r="B51" s="2" t="s">
        <v>22</v>
      </c>
      <c r="C51" s="2" t="s">
        <v>150</v>
      </c>
      <c r="D51" s="3" t="s">
        <v>11</v>
      </c>
      <c r="E51" s="21">
        <v>0.76900000000000002</v>
      </c>
      <c r="F51" s="21">
        <v>0.76900000000000002</v>
      </c>
      <c r="G51" s="20">
        <v>8300</v>
      </c>
      <c r="H51" s="21">
        <f>F51*$T$22</f>
        <v>20.430684781117058</v>
      </c>
      <c r="I51" s="21">
        <f>F51*$V$22</f>
        <v>1.287470838479484</v>
      </c>
      <c r="J51" s="21">
        <f t="shared" si="0"/>
        <v>130429.08302895568</v>
      </c>
      <c r="K51" s="21">
        <f t="shared" si="1"/>
        <v>8219.1880834362546</v>
      </c>
      <c r="L51" s="5" t="s">
        <v>24</v>
      </c>
      <c r="M51" s="1">
        <v>-6383.98</v>
      </c>
      <c r="N51" s="4">
        <v>1.28</v>
      </c>
      <c r="O51" s="4"/>
      <c r="P51" s="3">
        <v>43252</v>
      </c>
      <c r="Q51" s="50">
        <v>89910.99</v>
      </c>
      <c r="R51" s="50">
        <f t="shared" si="9"/>
        <v>309740.76</v>
      </c>
      <c r="S51" s="50">
        <f t="shared" si="10"/>
        <v>490259.24</v>
      </c>
      <c r="T51" s="50">
        <f t="shared" si="8"/>
        <v>1692.1631708333334</v>
      </c>
      <c r="U51" s="2"/>
      <c r="V51" s="74"/>
      <c r="W51" s="2"/>
    </row>
    <row r="52" spans="1:23">
      <c r="A52" s="3">
        <v>43271</v>
      </c>
      <c r="B52" s="2" t="s">
        <v>41</v>
      </c>
      <c r="C52" s="2" t="s">
        <v>41</v>
      </c>
      <c r="D52" s="3" t="s">
        <v>11</v>
      </c>
      <c r="E52" s="21">
        <v>1.468</v>
      </c>
      <c r="F52" s="21">
        <v>1.468</v>
      </c>
      <c r="G52" s="20">
        <v>4400</v>
      </c>
      <c r="H52" s="21">
        <f>F52*$T$18</f>
        <v>39.016430005204072</v>
      </c>
      <c r="I52" s="21">
        <f>F52*$V$18</f>
        <v>3.8743587837335514</v>
      </c>
      <c r="J52" s="21">
        <f t="shared" si="0"/>
        <v>252065.25588432085</v>
      </c>
      <c r="K52" s="21">
        <f t="shared" si="1"/>
        <v>25030.256178722771</v>
      </c>
      <c r="L52" s="5" t="s">
        <v>24</v>
      </c>
      <c r="M52" s="1">
        <v>-6460.49</v>
      </c>
      <c r="N52" s="4">
        <v>1.29</v>
      </c>
      <c r="O52" s="4"/>
      <c r="P52" s="3">
        <v>43282</v>
      </c>
      <c r="Q52" s="50">
        <v>89683.87</v>
      </c>
      <c r="R52" s="50">
        <f t="shared" si="9"/>
        <v>399424.63</v>
      </c>
      <c r="S52" s="50">
        <f t="shared" si="10"/>
        <v>400575.37</v>
      </c>
      <c r="T52" s="50">
        <f t="shared" si="8"/>
        <v>1429.9227833333334</v>
      </c>
      <c r="U52" s="2"/>
      <c r="V52" s="74"/>
      <c r="W52" s="2"/>
    </row>
    <row r="53" spans="1:23">
      <c r="A53" s="3">
        <v>43279</v>
      </c>
      <c r="B53" s="2" t="s">
        <v>40</v>
      </c>
      <c r="C53" s="2" t="s">
        <v>149</v>
      </c>
      <c r="D53" s="3" t="s">
        <v>11</v>
      </c>
      <c r="E53" s="21">
        <v>3.448</v>
      </c>
      <c r="F53" s="21">
        <v>3.448</v>
      </c>
      <c r="G53" s="20">
        <v>1800</v>
      </c>
      <c r="H53" s="21">
        <f>F53*$T$15</f>
        <v>11.493005617176584</v>
      </c>
      <c r="I53" s="21">
        <f>F53*$V$15</f>
        <v>1.4353967665592655</v>
      </c>
      <c r="J53" s="21">
        <f t="shared" si="0"/>
        <v>71344.441389410058</v>
      </c>
      <c r="K53" s="21">
        <f t="shared" si="1"/>
        <v>8910.4263839639589</v>
      </c>
      <c r="L53" s="5" t="s">
        <v>24</v>
      </c>
      <c r="M53" s="1">
        <v>-6207.64</v>
      </c>
      <c r="N53" s="4">
        <v>1.24</v>
      </c>
      <c r="O53" s="4"/>
      <c r="P53" s="3">
        <v>43313</v>
      </c>
      <c r="Q53" s="50">
        <v>52162.37</v>
      </c>
      <c r="R53" s="50">
        <f t="shared" si="9"/>
        <v>451587</v>
      </c>
      <c r="S53" s="50">
        <f t="shared" si="10"/>
        <v>348413</v>
      </c>
      <c r="T53" s="50">
        <f t="shared" si="8"/>
        <v>1168.3448291666666</v>
      </c>
      <c r="U53" s="2"/>
      <c r="V53" s="74"/>
      <c r="W53" s="2"/>
    </row>
    <row r="54" spans="1:23">
      <c r="A54" s="3">
        <v>43279</v>
      </c>
      <c r="B54" s="2" t="s">
        <v>20</v>
      </c>
      <c r="C54" s="2" t="s">
        <v>141</v>
      </c>
      <c r="D54" s="3" t="s">
        <v>11</v>
      </c>
      <c r="E54" s="21">
        <v>0.76400000000000001</v>
      </c>
      <c r="F54" s="21">
        <v>0.76400000000000001</v>
      </c>
      <c r="G54" s="20">
        <v>8400</v>
      </c>
      <c r="H54" s="21">
        <f>F54*$T$23</f>
        <v>22.249711308266445</v>
      </c>
      <c r="I54" s="21">
        <f>F54*$V$23</f>
        <v>1.9043514997887623</v>
      </c>
      <c r="J54" s="21">
        <f t="shared" si="0"/>
        <v>142818.22692240533</v>
      </c>
      <c r="K54" s="21">
        <f t="shared" si="1"/>
        <v>12223.80375496409</v>
      </c>
      <c r="L54" s="5" t="s">
        <v>24</v>
      </c>
      <c r="M54" s="1">
        <v>-6418.88</v>
      </c>
      <c r="N54" s="4">
        <v>1.28</v>
      </c>
      <c r="O54" s="4"/>
      <c r="P54" s="3">
        <v>43344</v>
      </c>
      <c r="Q54" s="50">
        <v>59031.360000000001</v>
      </c>
      <c r="R54" s="50">
        <f t="shared" si="9"/>
        <v>510618.36</v>
      </c>
      <c r="S54" s="50">
        <f t="shared" si="10"/>
        <v>289381.64</v>
      </c>
      <c r="T54" s="50">
        <f>(S53*$U$46)/12</f>
        <v>1016.2045833333335</v>
      </c>
      <c r="U54" s="2"/>
      <c r="V54" s="74"/>
      <c r="W54" s="2"/>
    </row>
    <row r="55" spans="1:23">
      <c r="A55" s="3">
        <v>43283</v>
      </c>
      <c r="B55" s="17" t="s">
        <v>32</v>
      </c>
      <c r="C55" s="17" t="s">
        <v>147</v>
      </c>
      <c r="D55" s="3" t="s">
        <v>11</v>
      </c>
      <c r="E55" s="21">
        <v>0.85</v>
      </c>
      <c r="F55" s="21">
        <v>0.85</v>
      </c>
      <c r="G55" s="20">
        <v>7520.39</v>
      </c>
      <c r="H55" s="21">
        <f>F55*$T$34</f>
        <v>10.033326166415826</v>
      </c>
      <c r="I55" s="21">
        <f>F55*$V$34</f>
        <v>1.0782627391958719</v>
      </c>
      <c r="J55" s="21">
        <f t="shared" ref="J55" si="11">H55*(-$M55)</f>
        <v>64213.287465061287</v>
      </c>
      <c r="K55" s="21">
        <f t="shared" ref="K55" si="12">I55*(-$M55)</f>
        <v>6900.8815308535804</v>
      </c>
      <c r="L55" s="7" t="s">
        <v>10</v>
      </c>
      <c r="M55" s="1">
        <v>-6400</v>
      </c>
      <c r="N55" s="4">
        <v>7.67</v>
      </c>
      <c r="O55" s="4"/>
      <c r="P55" s="3">
        <v>43374</v>
      </c>
      <c r="Q55" s="50">
        <v>0</v>
      </c>
      <c r="R55" s="50"/>
      <c r="S55" s="50"/>
      <c r="T55" s="50"/>
      <c r="U55" s="2"/>
      <c r="V55" s="74"/>
      <c r="W55" s="2"/>
    </row>
    <row r="56" spans="1:23">
      <c r="A56" s="3">
        <v>43283</v>
      </c>
      <c r="B56" s="3" t="s">
        <v>4</v>
      </c>
      <c r="C56" s="3" t="s">
        <v>130</v>
      </c>
      <c r="D56" s="3" t="s">
        <v>11</v>
      </c>
      <c r="E56" s="21">
        <v>1.026</v>
      </c>
      <c r="F56" s="21">
        <v>2.6120000000000001</v>
      </c>
      <c r="G56" s="20">
        <v>6228.47</v>
      </c>
      <c r="H56" s="21">
        <f>F56*$T$13</f>
        <v>10.937873955960516</v>
      </c>
      <c r="I56" s="21">
        <f>F56*$V$13</f>
        <v>1.28914198936978</v>
      </c>
      <c r="J56" s="21">
        <f t="shared" si="0"/>
        <v>70002.393318147297</v>
      </c>
      <c r="K56" s="21">
        <f t="shared" si="1"/>
        <v>8250.5087319665927</v>
      </c>
      <c r="L56" s="7" t="s">
        <v>10</v>
      </c>
      <c r="M56" s="4">
        <v>-6400</v>
      </c>
      <c r="N56" s="4">
        <v>9.59</v>
      </c>
      <c r="O56" s="4"/>
      <c r="P56" s="3">
        <v>43405</v>
      </c>
      <c r="Q56" s="50">
        <v>0</v>
      </c>
      <c r="R56" s="50"/>
      <c r="S56" s="50"/>
      <c r="T56" s="50"/>
      <c r="U56" s="2"/>
      <c r="V56" s="74"/>
      <c r="W56" s="2" t="s">
        <v>166</v>
      </c>
    </row>
    <row r="57" spans="1:23">
      <c r="A57" s="3">
        <v>43285</v>
      </c>
      <c r="B57" s="3" t="s">
        <v>5</v>
      </c>
      <c r="C57" s="3" t="s">
        <v>151</v>
      </c>
      <c r="D57" s="3" t="s">
        <v>11</v>
      </c>
      <c r="E57" s="21">
        <v>0.99970000000000003</v>
      </c>
      <c r="F57" s="21">
        <v>0.99970000000000003</v>
      </c>
      <c r="G57" s="20">
        <v>6394.25</v>
      </c>
      <c r="H57" s="21">
        <f>F57*$T$21</f>
        <v>25.044607703281027</v>
      </c>
      <c r="I57" s="21">
        <f>E57*$V$21</f>
        <v>3.1813124108416546</v>
      </c>
      <c r="J57" s="21">
        <f t="shared" si="0"/>
        <v>160285.48930099857</v>
      </c>
      <c r="K57" s="21">
        <f t="shared" si="1"/>
        <v>20360.399429386591</v>
      </c>
      <c r="L57" s="7" t="s">
        <v>10</v>
      </c>
      <c r="M57" s="4">
        <v>-6400</v>
      </c>
      <c r="N57" s="4">
        <v>7.67</v>
      </c>
      <c r="O57" s="4"/>
      <c r="P57" s="3">
        <v>43435</v>
      </c>
      <c r="Q57" s="50">
        <v>0</v>
      </c>
      <c r="R57" s="50"/>
      <c r="S57" s="50"/>
      <c r="T57" s="50"/>
      <c r="U57" s="2"/>
      <c r="V57" s="74"/>
      <c r="W57" s="2">
        <f>SUM(T46:T57)</f>
        <v>13108.034420833335</v>
      </c>
    </row>
    <row r="58" spans="1:23">
      <c r="A58" s="3">
        <v>43286</v>
      </c>
      <c r="B58" s="3" t="s">
        <v>4</v>
      </c>
      <c r="C58" s="3" t="s">
        <v>130</v>
      </c>
      <c r="D58" s="3" t="s">
        <v>11</v>
      </c>
      <c r="E58" s="21">
        <v>1.01</v>
      </c>
      <c r="F58" s="21">
        <v>2.5939999999999999</v>
      </c>
      <c r="G58" s="20">
        <v>6327.14</v>
      </c>
      <c r="H58" s="21">
        <f>F58*$T$13</f>
        <v>10.862498101746393</v>
      </c>
      <c r="I58" s="21">
        <f>F58*$V$13</f>
        <v>1.2802581624905087</v>
      </c>
      <c r="J58" s="21">
        <f t="shared" si="0"/>
        <v>69519.98785117692</v>
      </c>
      <c r="K58" s="21">
        <f t="shared" si="1"/>
        <v>8193.6522399392561</v>
      </c>
      <c r="L58" s="7" t="s">
        <v>10</v>
      </c>
      <c r="M58" s="4">
        <v>-6400</v>
      </c>
      <c r="N58" s="4">
        <v>9.59</v>
      </c>
      <c r="O58" s="4"/>
    </row>
    <row r="59" spans="1:23">
      <c r="A59" s="3">
        <v>43286</v>
      </c>
      <c r="B59" s="3" t="s">
        <v>6</v>
      </c>
      <c r="C59" s="3" t="s">
        <v>131</v>
      </c>
      <c r="D59" s="14" t="s">
        <v>12</v>
      </c>
      <c r="E59" s="22">
        <v>0.99370000000000003</v>
      </c>
      <c r="F59" s="22">
        <v>0.99370000000000003</v>
      </c>
      <c r="G59" s="23">
        <v>4205.5</v>
      </c>
      <c r="H59" s="21"/>
      <c r="I59" s="21"/>
      <c r="J59" s="21">
        <f t="shared" si="0"/>
        <v>0</v>
      </c>
      <c r="K59" s="21">
        <f t="shared" si="1"/>
        <v>0</v>
      </c>
      <c r="L59" s="7" t="s">
        <v>10</v>
      </c>
      <c r="M59" s="13">
        <v>4176.92</v>
      </c>
      <c r="N59" s="4">
        <v>2.09</v>
      </c>
      <c r="O59" s="4"/>
    </row>
    <row r="60" spans="1:23">
      <c r="A60" s="3">
        <v>43286</v>
      </c>
      <c r="B60" s="2" t="s">
        <v>44</v>
      </c>
      <c r="C60" s="2" t="s">
        <v>152</v>
      </c>
      <c r="D60" s="3" t="s">
        <v>45</v>
      </c>
      <c r="E60" s="21">
        <v>2.3860000000000001</v>
      </c>
      <c r="F60" s="21">
        <v>2.3860000000000001</v>
      </c>
      <c r="G60" s="20">
        <v>2700</v>
      </c>
      <c r="H60" s="21">
        <f>F60*$T$14</f>
        <v>9.1514124718256973</v>
      </c>
      <c r="I60" s="21">
        <f>F60*$V$14</f>
        <v>1.1472877535687453</v>
      </c>
      <c r="J60" s="21">
        <f t="shared" si="0"/>
        <v>58967.034748084159</v>
      </c>
      <c r="K60" s="21">
        <f t="shared" si="1"/>
        <v>7392.5371672426745</v>
      </c>
      <c r="L60" s="5" t="s">
        <v>24</v>
      </c>
      <c r="M60" s="1">
        <v>-6443.49</v>
      </c>
      <c r="N60" s="4">
        <v>1.29</v>
      </c>
      <c r="O60" s="4"/>
    </row>
    <row r="61" spans="1:23">
      <c r="A61" s="3">
        <v>43297</v>
      </c>
      <c r="B61" s="3" t="s">
        <v>3</v>
      </c>
      <c r="C61" s="3" t="s">
        <v>120</v>
      </c>
      <c r="D61" s="3" t="s">
        <v>11</v>
      </c>
      <c r="E61" s="21">
        <v>1.1970000000000001</v>
      </c>
      <c r="F61" s="21">
        <v>1.1970000000000001</v>
      </c>
      <c r="G61" s="20">
        <v>5340.29</v>
      </c>
      <c r="H61" s="21"/>
      <c r="I61" s="21"/>
      <c r="J61" s="21">
        <f t="shared" si="0"/>
        <v>0</v>
      </c>
      <c r="K61" s="21">
        <f t="shared" si="1"/>
        <v>0</v>
      </c>
      <c r="L61" s="7" t="s">
        <v>10</v>
      </c>
      <c r="M61" s="4">
        <v>-6400</v>
      </c>
      <c r="N61" s="4">
        <v>7.67</v>
      </c>
      <c r="O61" s="4"/>
    </row>
    <row r="62" spans="1:23">
      <c r="A62" s="3">
        <v>43297</v>
      </c>
      <c r="B62" s="2" t="s">
        <v>23</v>
      </c>
      <c r="C62" s="2" t="s">
        <v>143</v>
      </c>
      <c r="D62" s="3" t="s">
        <v>11</v>
      </c>
      <c r="E62" s="21">
        <v>0.81799999999999995</v>
      </c>
      <c r="F62" s="21">
        <v>0.81799999999999995</v>
      </c>
      <c r="G62" s="20">
        <v>7800</v>
      </c>
      <c r="H62" s="21">
        <f>F62*$T$25</f>
        <v>27.579462786793506</v>
      </c>
      <c r="I62" s="21">
        <f>F62*$V$25</f>
        <v>3.181365416899832</v>
      </c>
      <c r="J62" s="21">
        <f t="shared" si="0"/>
        <v>176003.30607722438</v>
      </c>
      <c r="K62" s="21">
        <f t="shared" si="1"/>
        <v>20302.456053721322</v>
      </c>
      <c r="L62" s="5" t="s">
        <v>24</v>
      </c>
      <c r="M62" s="1">
        <v>-6381.68</v>
      </c>
      <c r="N62" s="4">
        <v>1.28</v>
      </c>
      <c r="O62" s="4"/>
    </row>
    <row r="63" spans="1:23">
      <c r="A63" s="3">
        <v>43301</v>
      </c>
      <c r="B63" s="2" t="s">
        <v>65</v>
      </c>
      <c r="C63" s="2" t="s">
        <v>153</v>
      </c>
      <c r="D63" s="3" t="s">
        <v>11</v>
      </c>
      <c r="E63" s="21">
        <v>3.3519999999999999</v>
      </c>
      <c r="F63" s="21">
        <v>3.3519999999999999</v>
      </c>
      <c r="G63" s="20">
        <v>3435</v>
      </c>
      <c r="H63" s="21"/>
      <c r="I63" s="21"/>
      <c r="J63" s="21">
        <f t="shared" si="0"/>
        <v>0</v>
      </c>
      <c r="K63" s="21">
        <f t="shared" si="1"/>
        <v>0</v>
      </c>
      <c r="L63" s="51" t="s">
        <v>108</v>
      </c>
      <c r="M63" s="1">
        <v>-11514.12</v>
      </c>
      <c r="N63" s="4">
        <v>0</v>
      </c>
      <c r="O63" s="4"/>
      <c r="R63" s="15"/>
    </row>
    <row r="64" spans="1:23">
      <c r="A64" s="3">
        <v>43313</v>
      </c>
      <c r="B64" s="2" t="s">
        <v>19</v>
      </c>
      <c r="C64" s="2" t="s">
        <v>154</v>
      </c>
      <c r="D64" s="3" t="s">
        <v>11</v>
      </c>
      <c r="E64" s="21">
        <v>0.65200000000000002</v>
      </c>
      <c r="F64" s="21">
        <v>0.65200000000000002</v>
      </c>
      <c r="G64" s="20">
        <v>5000</v>
      </c>
      <c r="H64" s="21">
        <f>F64*$T$17</f>
        <v>24.807432206226984</v>
      </c>
      <c r="I64" s="21">
        <f>F64*$V$17</f>
        <v>2.2264479410780047</v>
      </c>
      <c r="J64" s="21">
        <f t="shared" si="0"/>
        <v>80888.353823234022</v>
      </c>
      <c r="K64" s="21">
        <f t="shared" si="1"/>
        <v>7259.6674790759962</v>
      </c>
      <c r="L64" s="5" t="s">
        <v>24</v>
      </c>
      <c r="M64" s="1">
        <v>-3260.65</v>
      </c>
      <c r="N64" s="4">
        <v>0.65</v>
      </c>
      <c r="O64" s="4"/>
      <c r="R64" s="15"/>
    </row>
    <row r="65" spans="1:18">
      <c r="A65" s="3">
        <v>43313</v>
      </c>
      <c r="B65" s="2" t="s">
        <v>18</v>
      </c>
      <c r="C65" s="2" t="s">
        <v>155</v>
      </c>
      <c r="D65" s="3" t="s">
        <v>11</v>
      </c>
      <c r="E65" s="21">
        <v>5.4210000000000003</v>
      </c>
      <c r="F65" s="21">
        <v>5.4210000000000003</v>
      </c>
      <c r="G65" s="20">
        <v>1200</v>
      </c>
      <c r="H65" s="21">
        <f>F65*$T$16</f>
        <v>21.002582866982351</v>
      </c>
      <c r="I65" s="21">
        <f>F65*$V$16</f>
        <v>1.8987183500958793</v>
      </c>
      <c r="J65" s="21">
        <f t="shared" si="0"/>
        <v>136653.30542402065</v>
      </c>
      <c r="K65" s="21">
        <f t="shared" si="1"/>
        <v>12354.010944898839</v>
      </c>
      <c r="L65" s="5" t="s">
        <v>24</v>
      </c>
      <c r="M65" s="1">
        <v>-6506.5</v>
      </c>
      <c r="N65" s="4">
        <v>1.3</v>
      </c>
      <c r="O65" s="4"/>
      <c r="P65" s="15"/>
      <c r="R65" s="15"/>
    </row>
    <row r="66" spans="1:18">
      <c r="A66" s="3">
        <v>43318</v>
      </c>
      <c r="B66" s="2" t="s">
        <v>19</v>
      </c>
      <c r="C66" s="2" t="s">
        <v>156</v>
      </c>
      <c r="D66" s="3" t="s">
        <v>11</v>
      </c>
      <c r="E66" s="21">
        <v>0.61899999999999999</v>
      </c>
      <c r="F66" s="21">
        <v>0.61899999999999999</v>
      </c>
      <c r="G66" s="20">
        <v>5200</v>
      </c>
      <c r="H66" s="21">
        <f>F66*$T$17</f>
        <v>23.551841312353531</v>
      </c>
      <c r="I66" s="21">
        <f>F66*$V$17</f>
        <v>2.113759625041848</v>
      </c>
      <c r="J66" s="21">
        <f t="shared" si="0"/>
        <v>75823.73999464346</v>
      </c>
      <c r="K66" s="21">
        <f t="shared" si="1"/>
        <v>6805.122287244727</v>
      </c>
      <c r="L66" s="5" t="s">
        <v>24</v>
      </c>
      <c r="M66" s="1">
        <v>-3219.44</v>
      </c>
      <c r="N66" s="4">
        <v>0.64</v>
      </c>
      <c r="O66" s="4"/>
      <c r="P66" s="15"/>
      <c r="Q66" s="15"/>
      <c r="R66" s="15"/>
    </row>
    <row r="67" spans="1:18">
      <c r="A67" s="3">
        <v>43318</v>
      </c>
      <c r="B67" s="2" t="s">
        <v>18</v>
      </c>
      <c r="C67" s="2" t="s">
        <v>157</v>
      </c>
      <c r="D67" s="3" t="s">
        <v>11</v>
      </c>
      <c r="E67" s="21">
        <v>5.1440000000000001</v>
      </c>
      <c r="F67" s="21">
        <v>5.1440000000000001</v>
      </c>
      <c r="G67" s="20">
        <v>1200</v>
      </c>
      <c r="H67" s="21">
        <f>F67*$T$16</f>
        <v>19.929401635815758</v>
      </c>
      <c r="I67" s="21">
        <f>F67*$V$16</f>
        <v>1.8016984307126365</v>
      </c>
      <c r="J67" s="21">
        <f t="shared" ref="J67:J82" si="13">H67*(-$M67)</f>
        <v>123044.72358157556</v>
      </c>
      <c r="K67" s="21">
        <f t="shared" ref="K67:K82" si="14">I67*(-$M67)</f>
        <v>11123.740162172739</v>
      </c>
      <c r="L67" s="5" t="s">
        <v>24</v>
      </c>
      <c r="M67" s="1">
        <v>-6174.03</v>
      </c>
      <c r="N67" s="4">
        <v>1.23</v>
      </c>
      <c r="O67" s="4"/>
      <c r="P67" s="15"/>
      <c r="Q67" s="15"/>
      <c r="R67" s="15"/>
    </row>
    <row r="68" spans="1:18">
      <c r="A68" s="3">
        <v>43318</v>
      </c>
      <c r="B68" s="2" t="s">
        <v>40</v>
      </c>
      <c r="C68" s="2" t="s">
        <v>158</v>
      </c>
      <c r="D68" s="3" t="s">
        <v>11</v>
      </c>
      <c r="E68" s="21">
        <v>3.3359999999999999</v>
      </c>
      <c r="F68" s="21">
        <v>3.3359999999999999</v>
      </c>
      <c r="G68" s="20">
        <v>1900</v>
      </c>
      <c r="H68" s="21">
        <f>F68*$T$15</f>
        <v>11.119682928915628</v>
      </c>
      <c r="I68" s="21">
        <f>F68*$V$15</f>
        <v>1.3887713495480596</v>
      </c>
      <c r="J68" s="21">
        <f t="shared" si="13"/>
        <v>70495.120273958542</v>
      </c>
      <c r="K68" s="21">
        <f t="shared" si="14"/>
        <v>8804.3520615893467</v>
      </c>
      <c r="L68" s="5" t="s">
        <v>24</v>
      </c>
      <c r="M68" s="1">
        <v>-6339.67</v>
      </c>
      <c r="N68" s="4">
        <v>1.27</v>
      </c>
      <c r="O68" s="4"/>
      <c r="P68" s="15"/>
      <c r="Q68" s="15"/>
      <c r="R68" s="15"/>
    </row>
    <row r="69" spans="1:18">
      <c r="A69" s="3">
        <v>43318</v>
      </c>
      <c r="B69" s="2" t="s">
        <v>17</v>
      </c>
      <c r="C69" s="2" t="s">
        <v>126</v>
      </c>
      <c r="D69" s="3" t="s">
        <v>11</v>
      </c>
      <c r="E69" s="21">
        <v>1.258</v>
      </c>
      <c r="F69" s="21">
        <v>1.258</v>
      </c>
      <c r="G69" s="20">
        <v>5100</v>
      </c>
      <c r="H69" s="21">
        <f>F69*$T$19</f>
        <v>29.077416244878286</v>
      </c>
      <c r="I69" s="21">
        <f>F69*$V$19</f>
        <v>3.5576122760504543</v>
      </c>
      <c r="J69" s="21">
        <f t="shared" si="13"/>
        <v>186592.10623668355</v>
      </c>
      <c r="K69" s="21">
        <f t="shared" si="14"/>
        <v>22829.482584397851</v>
      </c>
      <c r="L69" s="5" t="s">
        <v>24</v>
      </c>
      <c r="M69" s="4">
        <v>-6417.08</v>
      </c>
      <c r="N69" s="4">
        <v>1.28</v>
      </c>
      <c r="O69" s="4"/>
      <c r="P69" s="15"/>
      <c r="Q69" s="15"/>
      <c r="R69" s="15"/>
    </row>
    <row r="70" spans="1:18">
      <c r="A70" s="3">
        <v>43318</v>
      </c>
      <c r="B70" s="3" t="s">
        <v>6</v>
      </c>
      <c r="C70" s="3" t="s">
        <v>131</v>
      </c>
      <c r="D70" s="14" t="s">
        <v>12</v>
      </c>
      <c r="E70" s="22">
        <v>1.0019</v>
      </c>
      <c r="F70" s="22">
        <v>1.0019</v>
      </c>
      <c r="G70" s="23">
        <v>4205.5</v>
      </c>
      <c r="H70" s="21"/>
      <c r="I70" s="21"/>
      <c r="J70" s="21">
        <f t="shared" si="13"/>
        <v>0</v>
      </c>
      <c r="K70" s="21">
        <f t="shared" si="14"/>
        <v>0</v>
      </c>
      <c r="L70" s="7" t="s">
        <v>10</v>
      </c>
      <c r="M70" s="13">
        <v>4215.6099999999997</v>
      </c>
      <c r="N70" s="4">
        <v>2.12</v>
      </c>
      <c r="O70" s="4"/>
      <c r="P70" s="15"/>
      <c r="Q70" s="15"/>
      <c r="R70" s="15"/>
    </row>
    <row r="71" spans="1:18">
      <c r="A71" s="3">
        <v>43327</v>
      </c>
      <c r="B71" s="3" t="s">
        <v>4</v>
      </c>
      <c r="C71" s="3" t="s">
        <v>130</v>
      </c>
      <c r="D71" s="3" t="s">
        <v>11</v>
      </c>
      <c r="E71" s="21">
        <v>1.008</v>
      </c>
      <c r="F71" s="21">
        <v>2.5920000000000001</v>
      </c>
      <c r="G71" s="20">
        <v>6327.14</v>
      </c>
      <c r="H71" s="21">
        <f>F71*$T$13</f>
        <v>10.854123006833714</v>
      </c>
      <c r="I71" s="21">
        <f>F71*$V$13</f>
        <v>1.2792710706150343</v>
      </c>
      <c r="J71" s="21">
        <f t="shared" si="13"/>
        <v>69466.387243735764</v>
      </c>
      <c r="K71" s="21">
        <f t="shared" si="14"/>
        <v>8187.3348519362198</v>
      </c>
      <c r="L71" s="7" t="s">
        <v>10</v>
      </c>
      <c r="M71" s="4">
        <v>-6400</v>
      </c>
      <c r="N71" s="4">
        <v>9.59</v>
      </c>
      <c r="O71" s="4"/>
      <c r="P71" s="15"/>
      <c r="Q71" s="15"/>
      <c r="R71" s="15"/>
    </row>
    <row r="72" spans="1:18">
      <c r="A72" s="3">
        <v>43327</v>
      </c>
      <c r="B72" s="3" t="s">
        <v>7</v>
      </c>
      <c r="C72" s="3" t="s">
        <v>159</v>
      </c>
      <c r="D72" s="14" t="s">
        <v>12</v>
      </c>
      <c r="E72" s="22">
        <v>1.2509999999999999</v>
      </c>
      <c r="F72" s="22">
        <v>1.2509999999999999</v>
      </c>
      <c r="G72" s="23">
        <v>5451.73</v>
      </c>
      <c r="H72" s="21"/>
      <c r="I72" s="21"/>
      <c r="J72" s="21">
        <f t="shared" si="13"/>
        <v>0</v>
      </c>
      <c r="K72" s="21">
        <f t="shared" si="14"/>
        <v>0</v>
      </c>
      <c r="L72" s="7" t="s">
        <v>10</v>
      </c>
      <c r="M72" s="13">
        <v>6820.11</v>
      </c>
      <c r="N72" s="4">
        <v>0</v>
      </c>
      <c r="O72" s="4"/>
      <c r="P72" s="15"/>
      <c r="Q72" s="15"/>
      <c r="R72" s="15"/>
    </row>
    <row r="73" spans="1:18">
      <c r="A73" s="3">
        <v>43329</v>
      </c>
      <c r="B73" s="3" t="s">
        <v>5</v>
      </c>
      <c r="C73" s="3" t="s">
        <v>151</v>
      </c>
      <c r="D73" s="3" t="s">
        <v>11</v>
      </c>
      <c r="E73" s="21">
        <v>0.89759999999999995</v>
      </c>
      <c r="F73" s="21">
        <v>0.99970000000000003</v>
      </c>
      <c r="G73" s="20">
        <v>6394.25</v>
      </c>
      <c r="H73" s="21">
        <f>F73*$T$21</f>
        <v>25.044607703281027</v>
      </c>
      <c r="I73" s="21">
        <f>E73*$V$21</f>
        <v>2.8564029408537253</v>
      </c>
      <c r="J73" s="21">
        <f t="shared" si="13"/>
        <v>160285.48930099857</v>
      </c>
      <c r="K73" s="21">
        <f t="shared" si="14"/>
        <v>18280.978821463843</v>
      </c>
      <c r="L73" s="7" t="s">
        <v>10</v>
      </c>
      <c r="M73" s="4">
        <v>-6400</v>
      </c>
      <c r="N73" s="4">
        <v>7.67</v>
      </c>
      <c r="O73" s="4"/>
      <c r="P73" s="15"/>
      <c r="Q73" s="15"/>
      <c r="R73" s="15"/>
    </row>
    <row r="74" spans="1:18">
      <c r="A74" s="3">
        <v>43329</v>
      </c>
      <c r="B74" s="3" t="s">
        <v>2</v>
      </c>
      <c r="C74" s="3" t="s">
        <v>126</v>
      </c>
      <c r="D74" s="3" t="s">
        <v>11</v>
      </c>
      <c r="E74" s="21">
        <v>0.76419999999999999</v>
      </c>
      <c r="F74" s="21">
        <v>0.78149999999999997</v>
      </c>
      <c r="G74" s="20">
        <v>9457.64</v>
      </c>
      <c r="H74" s="21">
        <f>F74*$T$20</f>
        <v>29.131582016066336</v>
      </c>
      <c r="I74" s="21">
        <f>F74*$V$20</f>
        <v>3.5642394402694997</v>
      </c>
      <c r="J74" s="21">
        <f t="shared" si="13"/>
        <v>186442.12490282455</v>
      </c>
      <c r="K74" s="21">
        <f t="shared" si="14"/>
        <v>22811.132417724799</v>
      </c>
      <c r="L74" s="7" t="s">
        <v>10</v>
      </c>
      <c r="M74" s="4">
        <v>-6400</v>
      </c>
      <c r="N74" s="4">
        <f>4.43*2</f>
        <v>8.86</v>
      </c>
      <c r="O74" s="4"/>
      <c r="P74" s="15"/>
      <c r="Q74" s="15"/>
      <c r="R74" s="15"/>
    </row>
    <row r="75" spans="1:18">
      <c r="A75" s="3">
        <v>43332</v>
      </c>
      <c r="B75" s="3" t="s">
        <v>5</v>
      </c>
      <c r="C75" s="3" t="s">
        <v>151</v>
      </c>
      <c r="D75" s="3" t="s">
        <v>11</v>
      </c>
      <c r="E75" s="21">
        <v>0.89680000000000004</v>
      </c>
      <c r="F75" s="21">
        <v>0.99970000000000003</v>
      </c>
      <c r="G75" s="20">
        <v>6394.25</v>
      </c>
      <c r="H75" s="21">
        <f>F75*$T$21</f>
        <v>25.044607703281027</v>
      </c>
      <c r="I75" s="21">
        <f>E75*$V$21</f>
        <v>2.8538571271809503</v>
      </c>
      <c r="J75" s="21">
        <f t="shared" si="13"/>
        <v>160285.48930099857</v>
      </c>
      <c r="K75" s="21">
        <f t="shared" si="14"/>
        <v>18264.685613958081</v>
      </c>
      <c r="L75" s="7" t="s">
        <v>10</v>
      </c>
      <c r="M75" s="4">
        <v>-6400</v>
      </c>
      <c r="N75" s="4">
        <v>7.67</v>
      </c>
      <c r="O75" s="4"/>
      <c r="P75" s="15"/>
      <c r="Q75" s="15"/>
      <c r="R75" s="15"/>
    </row>
    <row r="76" spans="1:18">
      <c r="A76" s="3">
        <v>43332</v>
      </c>
      <c r="B76" s="2" t="s">
        <v>23</v>
      </c>
      <c r="C76" s="2" t="s">
        <v>143</v>
      </c>
      <c r="D76" s="3" t="s">
        <v>11</v>
      </c>
      <c r="E76" s="21">
        <v>0.73199999999999998</v>
      </c>
      <c r="F76" s="21">
        <v>0.73199999999999998</v>
      </c>
      <c r="G76" s="20">
        <v>8700</v>
      </c>
      <c r="H76" s="21">
        <f>F76*$T$25</f>
        <v>24.679910464465586</v>
      </c>
      <c r="I76" s="21">
        <f>F76*$V$25</f>
        <v>2.8468942361499718</v>
      </c>
      <c r="J76" s="21">
        <f t="shared" si="13"/>
        <v>157202.88528819251</v>
      </c>
      <c r="K76" s="21">
        <f t="shared" si="14"/>
        <v>18133.776809177391</v>
      </c>
      <c r="L76" s="5" t="s">
        <v>24</v>
      </c>
      <c r="M76" s="1">
        <v>-6369.67</v>
      </c>
      <c r="N76" s="4">
        <v>1.27</v>
      </c>
      <c r="O76" s="4"/>
      <c r="P76" s="15"/>
      <c r="Q76" s="15"/>
      <c r="R76" s="15"/>
    </row>
    <row r="77" spans="1:18">
      <c r="A77" s="3">
        <v>43336</v>
      </c>
      <c r="B77" s="2" t="s">
        <v>18</v>
      </c>
      <c r="C77" s="2" t="s">
        <v>157</v>
      </c>
      <c r="D77" s="3" t="s">
        <v>11</v>
      </c>
      <c r="E77" s="21">
        <v>5.149</v>
      </c>
      <c r="F77" s="21">
        <v>5.149</v>
      </c>
      <c r="G77" s="20">
        <v>1200</v>
      </c>
      <c r="H77" s="21">
        <f>F77*$T$16</f>
        <v>19.948773138183384</v>
      </c>
      <c r="I77" s="21">
        <f t="shared" ref="I77:I79" si="15">F77*$V$16</f>
        <v>1.8034496927953665</v>
      </c>
      <c r="J77" s="21">
        <f t="shared" si="13"/>
        <v>123284.21594489884</v>
      </c>
      <c r="K77" s="21">
        <f t="shared" si="14"/>
        <v>11145.391239463077</v>
      </c>
      <c r="L77" s="5" t="s">
        <v>24</v>
      </c>
      <c r="M77" s="1">
        <v>-6180.04</v>
      </c>
      <c r="N77" s="4">
        <v>1.24</v>
      </c>
      <c r="O77" s="4"/>
      <c r="P77" s="15"/>
      <c r="Q77" s="15"/>
      <c r="R77" s="15"/>
    </row>
    <row r="78" spans="1:18">
      <c r="A78" s="3">
        <v>43343</v>
      </c>
      <c r="B78" s="67" t="s">
        <v>18</v>
      </c>
      <c r="C78" s="67" t="s">
        <v>128</v>
      </c>
      <c r="D78" s="3" t="s">
        <v>11</v>
      </c>
      <c r="E78" s="21">
        <v>5.1319999999999997</v>
      </c>
      <c r="F78" s="21">
        <v>5.1319999999999997</v>
      </c>
      <c r="G78" s="20">
        <v>100</v>
      </c>
      <c r="H78" s="21">
        <f>F78*$T$16</f>
        <v>19.882910030133448</v>
      </c>
      <c r="I78" s="21">
        <f t="shared" si="15"/>
        <v>1.7974954017140843</v>
      </c>
      <c r="J78" s="21">
        <f t="shared" si="13"/>
        <v>10205.897718467499</v>
      </c>
      <c r="K78" s="21">
        <f t="shared" si="14"/>
        <v>922.65438969983938</v>
      </c>
      <c r="L78" s="5" t="s">
        <v>24</v>
      </c>
      <c r="M78" s="1">
        <v>-513.29999999999995</v>
      </c>
      <c r="N78" s="4">
        <v>0.1</v>
      </c>
      <c r="O78" s="4"/>
      <c r="P78" s="15"/>
      <c r="Q78" s="15"/>
      <c r="R78" s="15"/>
    </row>
    <row r="79" spans="1:18">
      <c r="A79" s="3">
        <v>43346</v>
      </c>
      <c r="B79" s="68" t="s">
        <v>18</v>
      </c>
      <c r="C79" s="68" t="s">
        <v>157</v>
      </c>
      <c r="D79" s="3" t="s">
        <v>11</v>
      </c>
      <c r="E79" s="21">
        <v>5.0709999999999997</v>
      </c>
      <c r="F79" s="21">
        <v>5.0709999999999997</v>
      </c>
      <c r="G79" s="20">
        <v>1300</v>
      </c>
      <c r="H79" s="21">
        <f>F79*$T$16</f>
        <v>19.646577701248386</v>
      </c>
      <c r="I79" s="21">
        <f t="shared" si="15"/>
        <v>1.7761300043047781</v>
      </c>
      <c r="J79" s="21">
        <f t="shared" si="13"/>
        <v>129542.06766250539</v>
      </c>
      <c r="K79" s="21">
        <f t="shared" si="14"/>
        <v>11711.12631898407</v>
      </c>
      <c r="L79" s="5" t="s">
        <v>24</v>
      </c>
      <c r="M79" s="1">
        <v>-6593.62</v>
      </c>
      <c r="N79" s="4">
        <v>1.32</v>
      </c>
      <c r="O79" s="4"/>
      <c r="P79" s="15"/>
      <c r="Q79" s="15"/>
      <c r="R79" s="15"/>
    </row>
    <row r="80" spans="1:18">
      <c r="A80" s="3">
        <v>43346</v>
      </c>
      <c r="B80" s="68" t="s">
        <v>40</v>
      </c>
      <c r="C80" s="68" t="s">
        <v>158</v>
      </c>
      <c r="D80" s="3" t="s">
        <v>11</v>
      </c>
      <c r="E80" s="21">
        <v>3.3570000000000002</v>
      </c>
      <c r="F80" s="21">
        <v>3.3570000000000002</v>
      </c>
      <c r="G80" s="20">
        <v>1900</v>
      </c>
      <c r="H80" s="21">
        <f>F80*$T$15</f>
        <v>11.189680932964558</v>
      </c>
      <c r="I80" s="21">
        <f>F80*$V$15</f>
        <v>1.3975136152376608</v>
      </c>
      <c r="J80" s="21">
        <f t="shared" si="13"/>
        <v>71385.464686322041</v>
      </c>
      <c r="K80" s="21">
        <f t="shared" si="14"/>
        <v>8915.5499094978768</v>
      </c>
      <c r="L80" s="5" t="s">
        <v>24</v>
      </c>
      <c r="M80" s="1">
        <v>-6379.58</v>
      </c>
      <c r="N80" s="4">
        <v>1.28</v>
      </c>
      <c r="O80" s="4"/>
      <c r="P80" s="15"/>
      <c r="Q80" s="15"/>
      <c r="R80" s="15"/>
    </row>
    <row r="81" spans="1:18">
      <c r="A81" s="3">
        <v>43354</v>
      </c>
      <c r="B81" s="71" t="s">
        <v>19</v>
      </c>
      <c r="C81" s="71" t="s">
        <v>154</v>
      </c>
      <c r="D81" s="3" t="s">
        <v>11</v>
      </c>
      <c r="E81" s="21">
        <v>0.58499999999999996</v>
      </c>
      <c r="F81" s="21">
        <v>0.58499999999999996</v>
      </c>
      <c r="G81" s="20">
        <v>5400</v>
      </c>
      <c r="H81" s="21">
        <f>F81*$T$17</f>
        <v>22.258202209574822</v>
      </c>
      <c r="I81" s="21">
        <f>F81*$V$17</f>
        <v>1.99765651155005</v>
      </c>
      <c r="J81" s="21">
        <f t="shared" si="13"/>
        <v>70327.683447438903</v>
      </c>
      <c r="K81" s="21">
        <f t="shared" si="14"/>
        <v>6311.8554435888846</v>
      </c>
      <c r="L81" s="5" t="s">
        <v>24</v>
      </c>
      <c r="M81" s="1">
        <v>-3159.63</v>
      </c>
      <c r="N81" s="4">
        <v>0.63</v>
      </c>
      <c r="O81" s="4"/>
      <c r="P81" s="15"/>
      <c r="Q81" s="15"/>
      <c r="R81" s="15"/>
    </row>
    <row r="82" spans="1:18">
      <c r="A82" s="3">
        <v>43357</v>
      </c>
      <c r="B82" s="73" t="s">
        <v>18</v>
      </c>
      <c r="C82" s="73" t="s">
        <v>128</v>
      </c>
      <c r="D82" s="3" t="s">
        <v>11</v>
      </c>
      <c r="E82" s="21">
        <v>4.9749999999999996</v>
      </c>
      <c r="F82" s="21">
        <v>4.9749999999999996</v>
      </c>
      <c r="G82" s="20">
        <v>1300</v>
      </c>
      <c r="H82" s="21">
        <f>F82*$T$16</f>
        <v>19.274644855789926</v>
      </c>
      <c r="I82" s="21">
        <f>F82*$V$16</f>
        <v>1.7425057723163619</v>
      </c>
      <c r="J82" s="21">
        <f t="shared" si="13"/>
        <v>124683.62989668532</v>
      </c>
      <c r="K82" s="21">
        <f t="shared" si="14"/>
        <v>11271.903914902359</v>
      </c>
      <c r="L82" s="5" t="s">
        <v>24</v>
      </c>
      <c r="M82" s="1">
        <v>-6468.79</v>
      </c>
      <c r="N82" s="4">
        <v>1.29</v>
      </c>
      <c r="O82" s="4"/>
      <c r="P82" s="15"/>
      <c r="Q82" s="15"/>
      <c r="R82" s="15"/>
    </row>
    <row r="83" spans="1:18">
      <c r="A83" s="3">
        <v>43371</v>
      </c>
      <c r="B83" s="76" t="s">
        <v>216</v>
      </c>
      <c r="C83" s="76" t="s">
        <v>158</v>
      </c>
      <c r="D83" s="3" t="s">
        <v>11</v>
      </c>
      <c r="E83" s="21">
        <v>1.7130000000000001</v>
      </c>
      <c r="F83" s="21">
        <v>1.7130000000000001</v>
      </c>
      <c r="G83" s="78">
        <v>3731.66</v>
      </c>
      <c r="H83" s="21">
        <f>F83*$T$31</f>
        <v>11.69</v>
      </c>
      <c r="I83" s="21">
        <f>F83*$V$31</f>
        <v>1.46</v>
      </c>
      <c r="J83" s="21">
        <f>H83*(-$M83)</f>
        <v>74816</v>
      </c>
      <c r="K83" s="21">
        <f t="shared" ref="K83:K86" si="16">I83*(-$M83)</f>
        <v>9344</v>
      </c>
      <c r="L83" s="7" t="s">
        <v>10</v>
      </c>
      <c r="M83" s="1">
        <v>-6400</v>
      </c>
      <c r="N83" s="4">
        <v>7.67</v>
      </c>
      <c r="O83" s="4"/>
      <c r="P83" s="15"/>
      <c r="Q83" s="15"/>
      <c r="R83" s="15"/>
    </row>
    <row r="84" spans="1:18">
      <c r="A84" s="3">
        <v>43371</v>
      </c>
      <c r="B84" s="76" t="s">
        <v>31</v>
      </c>
      <c r="C84" s="76" t="s">
        <v>146</v>
      </c>
      <c r="D84" s="3" t="s">
        <v>11</v>
      </c>
      <c r="E84" s="21">
        <v>1.0101</v>
      </c>
      <c r="F84" s="21">
        <v>1.0101</v>
      </c>
      <c r="G84" s="78">
        <v>6329.68</v>
      </c>
      <c r="H84" s="21"/>
      <c r="I84" s="21"/>
      <c r="J84" s="21">
        <f t="shared" ref="J84:J86" si="17">H84*(-$M84)</f>
        <v>0</v>
      </c>
      <c r="K84" s="21">
        <f t="shared" si="16"/>
        <v>0</v>
      </c>
      <c r="L84" s="7" t="s">
        <v>10</v>
      </c>
      <c r="M84" s="1">
        <v>-6400</v>
      </c>
      <c r="N84" s="4">
        <v>6.39</v>
      </c>
      <c r="O84" s="4"/>
      <c r="P84" s="15"/>
      <c r="Q84" s="15"/>
      <c r="R84" s="15"/>
    </row>
    <row r="85" spans="1:18">
      <c r="A85" s="3">
        <v>43371</v>
      </c>
      <c r="B85" s="3" t="s">
        <v>5</v>
      </c>
      <c r="C85" s="3" t="s">
        <v>151</v>
      </c>
      <c r="D85" s="3" t="s">
        <v>11</v>
      </c>
      <c r="E85" s="21">
        <v>0.9113</v>
      </c>
      <c r="F85" s="21">
        <v>0.9113</v>
      </c>
      <c r="G85" s="78">
        <v>7014.52</v>
      </c>
      <c r="H85" s="21">
        <f>F85*$T$21</f>
        <v>22.83</v>
      </c>
      <c r="I85" s="21">
        <f>E85*$V$21</f>
        <v>2.9</v>
      </c>
      <c r="J85" s="21">
        <f t="shared" si="17"/>
        <v>146112</v>
      </c>
      <c r="K85" s="21">
        <f t="shared" si="16"/>
        <v>18560</v>
      </c>
      <c r="L85" s="7" t="s">
        <v>10</v>
      </c>
      <c r="M85" s="4">
        <v>-6400</v>
      </c>
      <c r="N85" s="4">
        <v>7.67</v>
      </c>
      <c r="O85" s="4"/>
      <c r="P85" s="15"/>
      <c r="Q85" s="15"/>
      <c r="R85" s="15"/>
    </row>
    <row r="86" spans="1:18">
      <c r="A86" s="3">
        <v>43371</v>
      </c>
      <c r="B86" s="17" t="s">
        <v>32</v>
      </c>
      <c r="C86" s="17" t="s">
        <v>147</v>
      </c>
      <c r="D86" s="3" t="s">
        <v>11</v>
      </c>
      <c r="E86" s="21">
        <v>0.93020000000000003</v>
      </c>
      <c r="F86" s="21">
        <v>0.93020000000000003</v>
      </c>
      <c r="G86" s="78">
        <v>6872</v>
      </c>
      <c r="H86" s="21">
        <f>F86*$T$34</f>
        <v>10.98</v>
      </c>
      <c r="I86" s="21">
        <f>F86*$V$34</f>
        <v>1.18</v>
      </c>
      <c r="J86" s="21">
        <f t="shared" si="17"/>
        <v>70272</v>
      </c>
      <c r="K86" s="21">
        <f t="shared" si="16"/>
        <v>7552</v>
      </c>
      <c r="L86" s="7" t="s">
        <v>10</v>
      </c>
      <c r="M86" s="1">
        <v>-6400</v>
      </c>
      <c r="N86" s="4">
        <v>7.67</v>
      </c>
      <c r="O86" s="4"/>
      <c r="P86" s="15"/>
      <c r="Q86" s="15"/>
      <c r="R86" s="15"/>
    </row>
    <row r="87" spans="1:18">
      <c r="A87" s="3">
        <v>43371</v>
      </c>
      <c r="B87" s="76" t="s">
        <v>41</v>
      </c>
      <c r="C87" s="76" t="s">
        <v>41</v>
      </c>
      <c r="D87" s="3" t="s">
        <v>11</v>
      </c>
      <c r="E87" s="21">
        <v>1.335</v>
      </c>
      <c r="F87" s="21">
        <v>1.335</v>
      </c>
      <c r="G87" s="20">
        <v>4800</v>
      </c>
      <c r="H87" s="21">
        <f>F87*$T$18</f>
        <v>35.481562709092259</v>
      </c>
      <c r="I87" s="21">
        <f>F87*$V$18</f>
        <v>3.5233439892944762</v>
      </c>
      <c r="J87" s="21">
        <f t="shared" ref="J87" si="18">H87*(-$M87)</f>
        <v>227365.85383986321</v>
      </c>
      <c r="K87" s="21">
        <f t="shared" ref="K87" si="19">I87*(-$M87)</f>
        <v>22577.588283399004</v>
      </c>
      <c r="L87" s="5" t="s">
        <v>24</v>
      </c>
      <c r="M87" s="1">
        <v>-6408</v>
      </c>
      <c r="N87" s="4">
        <v>1.28</v>
      </c>
      <c r="O87" s="4"/>
      <c r="P87" s="15"/>
      <c r="Q87" s="15"/>
      <c r="R87" s="15"/>
    </row>
    <row r="88" spans="1:18">
      <c r="A88" s="3"/>
      <c r="B88" s="71"/>
      <c r="C88" s="71"/>
      <c r="D88" s="3"/>
      <c r="E88" s="21"/>
      <c r="F88" s="21"/>
      <c r="G88" s="20"/>
      <c r="H88" s="21"/>
      <c r="I88" s="21"/>
      <c r="J88" s="21">
        <f t="shared" ref="J88" si="20">H88*(-M88)</f>
        <v>0</v>
      </c>
      <c r="K88" s="21"/>
      <c r="L88" s="5"/>
      <c r="M88" s="1"/>
      <c r="N88" s="4"/>
      <c r="O88" s="4"/>
      <c r="P88" s="15"/>
      <c r="Q88" s="15"/>
      <c r="R88" s="15"/>
    </row>
    <row r="89" spans="1:18">
      <c r="A89" s="3"/>
      <c r="B89" s="71"/>
      <c r="C89" s="71"/>
      <c r="D89" s="3"/>
      <c r="E89" s="21"/>
      <c r="F89" s="21"/>
      <c r="G89" s="20"/>
      <c r="H89" s="21"/>
      <c r="I89" s="21"/>
      <c r="J89" s="21"/>
      <c r="K89" s="21"/>
      <c r="L89" s="5"/>
      <c r="M89" s="1"/>
      <c r="N89" s="4"/>
      <c r="O89" s="4"/>
      <c r="P89" s="15"/>
      <c r="Q89" s="15"/>
      <c r="R89" s="15"/>
    </row>
    <row r="90" spans="1:18">
      <c r="A90" s="3"/>
      <c r="B90" s="71"/>
      <c r="C90" s="71"/>
      <c r="D90" s="3"/>
      <c r="E90" s="21"/>
      <c r="F90" s="21"/>
      <c r="G90" s="20"/>
      <c r="H90" s="21"/>
      <c r="I90" s="21"/>
      <c r="J90" s="21">
        <f t="shared" ref="J90:J91" si="21">H90*(-M90)</f>
        <v>0</v>
      </c>
      <c r="K90" s="21"/>
      <c r="L90" s="5"/>
      <c r="M90" s="1"/>
      <c r="N90" s="4"/>
      <c r="O90" s="4"/>
      <c r="P90" s="15"/>
      <c r="Q90" s="15"/>
      <c r="R90" s="15"/>
    </row>
    <row r="91" spans="1:18">
      <c r="A91" s="3"/>
      <c r="B91" s="71"/>
      <c r="C91" s="71"/>
      <c r="D91" s="3"/>
      <c r="E91" s="21"/>
      <c r="F91" s="21"/>
      <c r="G91" s="20"/>
      <c r="H91" s="21"/>
      <c r="I91" s="21"/>
      <c r="J91" s="21">
        <f t="shared" si="21"/>
        <v>0</v>
      </c>
      <c r="K91" s="21"/>
      <c r="L91" s="5"/>
      <c r="M91" s="1"/>
      <c r="N91" s="4"/>
      <c r="P91" s="15"/>
      <c r="Q91" s="15"/>
      <c r="R91" s="15"/>
    </row>
    <row r="92" spans="1:18">
      <c r="A92" s="3"/>
      <c r="B92" s="71"/>
      <c r="C92" s="71"/>
      <c r="D92" s="3"/>
      <c r="E92" s="21"/>
      <c r="F92" s="21"/>
      <c r="G92" s="20"/>
      <c r="H92" s="21"/>
      <c r="I92" s="21"/>
      <c r="J92" s="21"/>
      <c r="K92" s="21"/>
      <c r="L92" s="5"/>
      <c r="M92" s="1"/>
      <c r="N92" s="4"/>
      <c r="O92" s="4"/>
      <c r="P92" s="15"/>
      <c r="Q92" s="15"/>
      <c r="R92" s="15"/>
    </row>
    <row r="93" spans="1:18">
      <c r="A93" s="3"/>
      <c r="B93" s="71"/>
      <c r="C93" s="71"/>
      <c r="D93" s="3"/>
      <c r="E93" s="21"/>
      <c r="F93" s="21"/>
      <c r="G93" s="20"/>
      <c r="H93" s="21"/>
      <c r="I93" s="21"/>
      <c r="J93" s="21"/>
      <c r="K93" s="21"/>
      <c r="L93" s="5"/>
      <c r="M93" s="1"/>
      <c r="N93" s="4"/>
      <c r="O93" s="4"/>
      <c r="Q93" s="15"/>
      <c r="R93" s="15"/>
    </row>
    <row r="94" spans="1:18">
      <c r="A94" s="3"/>
      <c r="B94" s="71"/>
      <c r="C94" s="71"/>
      <c r="D94" s="3"/>
      <c r="E94" s="21"/>
      <c r="F94" s="21"/>
      <c r="G94" s="20"/>
      <c r="H94" s="21"/>
      <c r="I94" s="21"/>
      <c r="J94" s="21"/>
      <c r="K94" s="21"/>
      <c r="L94" s="5"/>
      <c r="M94" s="1"/>
      <c r="N94" s="4"/>
      <c r="O94" s="4"/>
      <c r="Q94" s="15"/>
      <c r="R94" s="15"/>
    </row>
    <row r="95" spans="1:18">
      <c r="A95" s="3"/>
      <c r="B95" s="71"/>
      <c r="C95" s="71"/>
      <c r="D95" s="3"/>
      <c r="E95" s="21"/>
      <c r="F95" s="21"/>
      <c r="G95" s="20"/>
      <c r="H95" s="21"/>
      <c r="I95" s="21"/>
      <c r="J95" s="21">
        <f t="shared" ref="J95" si="22">H95*(-M95)</f>
        <v>0</v>
      </c>
      <c r="K95" s="21"/>
      <c r="L95" s="5"/>
      <c r="M95" s="1"/>
      <c r="N95" s="4"/>
      <c r="O95" s="4"/>
      <c r="Q95" s="15"/>
      <c r="R95" s="15"/>
    </row>
    <row r="96" spans="1:18">
      <c r="A96" s="3"/>
      <c r="B96" s="71"/>
      <c r="C96" s="71"/>
      <c r="D96" s="3"/>
      <c r="E96" s="21"/>
      <c r="F96" s="21"/>
      <c r="G96" s="20"/>
      <c r="H96" s="21"/>
      <c r="I96" s="21"/>
      <c r="J96" s="21"/>
      <c r="K96" s="21"/>
      <c r="L96" s="5"/>
      <c r="M96" s="1"/>
      <c r="N96" s="4"/>
      <c r="O96" s="4"/>
      <c r="Q96" s="15"/>
      <c r="R96" s="15"/>
    </row>
    <row r="97" spans="1:18">
      <c r="A97" s="3"/>
      <c r="B97" s="71"/>
      <c r="C97" s="71"/>
      <c r="D97" s="3"/>
      <c r="E97" s="21"/>
      <c r="F97" s="21"/>
      <c r="G97" s="20"/>
      <c r="H97" s="21"/>
      <c r="I97" s="21"/>
      <c r="J97" s="21">
        <f t="shared" ref="J97" si="23">H97*(-M97)</f>
        <v>0</v>
      </c>
      <c r="K97" s="21"/>
      <c r="L97" s="5"/>
      <c r="M97" s="1"/>
      <c r="N97" s="4"/>
      <c r="O97" s="4"/>
      <c r="Q97" s="15"/>
      <c r="R97" s="15"/>
    </row>
    <row r="98" spans="1:18">
      <c r="A98" s="3"/>
      <c r="B98" s="71"/>
      <c r="C98" s="71"/>
      <c r="D98" s="3"/>
      <c r="E98" s="21"/>
      <c r="F98" s="21"/>
      <c r="G98" s="20"/>
      <c r="H98" s="21"/>
      <c r="I98" s="21"/>
      <c r="J98" s="21">
        <f t="shared" ref="J98:J108" si="24">H98*(-M98)</f>
        <v>0</v>
      </c>
      <c r="K98" s="21"/>
      <c r="L98" s="5"/>
      <c r="M98" s="1"/>
      <c r="N98" s="4"/>
      <c r="O98" s="4"/>
      <c r="Q98" s="15"/>
      <c r="R98" s="15"/>
    </row>
    <row r="99" spans="1:18">
      <c r="A99" s="3"/>
      <c r="B99" s="71"/>
      <c r="C99" s="71"/>
      <c r="D99" s="3"/>
      <c r="E99" s="21"/>
      <c r="F99" s="21"/>
      <c r="G99" s="20"/>
      <c r="H99" s="21"/>
      <c r="I99" s="21"/>
      <c r="J99" s="21"/>
      <c r="K99" s="21"/>
      <c r="L99" s="5"/>
      <c r="M99" s="1"/>
      <c r="N99" s="4"/>
      <c r="O99" s="4"/>
      <c r="Q99" s="15"/>
      <c r="R99" s="15"/>
    </row>
    <row r="100" spans="1:18">
      <c r="A100" s="3"/>
      <c r="B100" s="71"/>
      <c r="C100" s="71"/>
      <c r="D100" s="3"/>
      <c r="E100" s="21"/>
      <c r="F100" s="21"/>
      <c r="G100" s="20"/>
      <c r="H100" s="21"/>
      <c r="I100" s="21"/>
      <c r="J100" s="21">
        <f t="shared" si="24"/>
        <v>0</v>
      </c>
      <c r="K100" s="21"/>
      <c r="L100" s="5"/>
      <c r="M100" s="1"/>
      <c r="N100" s="4"/>
      <c r="O100" s="4"/>
      <c r="Q100" s="15"/>
      <c r="R100" s="15"/>
    </row>
    <row r="101" spans="1:18">
      <c r="A101" s="3"/>
      <c r="B101" s="71"/>
      <c r="C101" s="71"/>
      <c r="D101" s="3"/>
      <c r="E101" s="21"/>
      <c r="F101" s="21"/>
      <c r="G101" s="20"/>
      <c r="H101" s="21"/>
      <c r="I101" s="21"/>
      <c r="J101" s="21">
        <f t="shared" si="24"/>
        <v>0</v>
      </c>
      <c r="K101" s="21"/>
      <c r="L101" s="5"/>
      <c r="M101" s="1"/>
      <c r="N101" s="4"/>
      <c r="Q101" s="15"/>
      <c r="R101" s="15"/>
    </row>
    <row r="102" spans="1:18">
      <c r="A102" s="3">
        <v>43346</v>
      </c>
      <c r="D102" s="3"/>
      <c r="E102" s="3"/>
      <c r="F102" s="3"/>
      <c r="G102" s="3"/>
      <c r="H102" s="3"/>
      <c r="I102" s="3"/>
      <c r="J102" s="21">
        <f t="shared" si="24"/>
        <v>0</v>
      </c>
      <c r="K102" s="21"/>
      <c r="L102" s="8" t="s">
        <v>201</v>
      </c>
      <c r="M102" s="1">
        <f>SUM(S4:S6)</f>
        <v>512470.65</v>
      </c>
      <c r="N102" s="1"/>
      <c r="O102" s="4"/>
      <c r="Q102" s="15"/>
      <c r="R102" s="15"/>
    </row>
    <row r="103" spans="1:18">
      <c r="A103" s="3"/>
      <c r="B103" s="2"/>
      <c r="C103" s="2"/>
      <c r="D103" s="3"/>
      <c r="E103" s="3"/>
      <c r="F103" s="3"/>
      <c r="G103" s="3"/>
      <c r="H103" s="3"/>
      <c r="I103" s="3"/>
      <c r="J103" s="21">
        <f t="shared" si="24"/>
        <v>0</v>
      </c>
      <c r="K103" s="21"/>
      <c r="M103" s="1"/>
      <c r="N103" s="4"/>
      <c r="O103" s="4"/>
      <c r="Q103" s="15"/>
      <c r="R103" s="15"/>
    </row>
    <row r="104" spans="1:18">
      <c r="A104" s="3"/>
      <c r="B104" s="2"/>
      <c r="C104" s="2"/>
      <c r="D104" s="3"/>
      <c r="E104" s="3"/>
      <c r="F104" s="3"/>
      <c r="G104" s="3"/>
      <c r="H104" s="3"/>
      <c r="I104" s="3"/>
      <c r="J104" s="21">
        <f t="shared" si="24"/>
        <v>0</v>
      </c>
      <c r="K104" s="21"/>
      <c r="M104" s="1"/>
      <c r="N104" s="4"/>
      <c r="O104" s="4"/>
      <c r="P104" s="15"/>
      <c r="Q104" s="15"/>
      <c r="R104" s="15"/>
    </row>
    <row r="105" spans="1:18">
      <c r="A105" s="3"/>
      <c r="B105" s="2"/>
      <c r="C105" s="2"/>
      <c r="D105" s="3"/>
      <c r="E105" s="3"/>
      <c r="F105" s="3"/>
      <c r="G105" s="3"/>
      <c r="H105" s="3"/>
      <c r="I105" s="3"/>
      <c r="J105" s="21">
        <f t="shared" si="24"/>
        <v>0</v>
      </c>
      <c r="K105" s="21"/>
      <c r="M105" s="1"/>
      <c r="N105" s="4"/>
      <c r="P105" s="15"/>
      <c r="Q105" s="15"/>
    </row>
    <row r="106" spans="1:18">
      <c r="A106" s="3"/>
      <c r="D106" s="3"/>
      <c r="E106" s="3"/>
      <c r="F106" s="3"/>
      <c r="G106" s="3"/>
      <c r="H106" s="3"/>
      <c r="I106" s="3"/>
      <c r="J106" s="21">
        <f t="shared" si="24"/>
        <v>0</v>
      </c>
      <c r="K106" s="21"/>
      <c r="L106" s="8" t="s">
        <v>26</v>
      </c>
      <c r="M106" s="12">
        <f>XIRR($M2:$M105,$A2:$A105)</f>
        <v>2.9802322387695314E-9</v>
      </c>
      <c r="N106" s="12"/>
      <c r="O106" t="s">
        <v>27</v>
      </c>
      <c r="P106" s="15"/>
      <c r="Q106" s="15"/>
    </row>
    <row r="107" spans="1:18">
      <c r="J107" s="21">
        <f t="shared" si="24"/>
        <v>0</v>
      </c>
      <c r="K107" s="21"/>
      <c r="L107" s="3">
        <v>43235</v>
      </c>
      <c r="M107" s="16">
        <v>0.15763732790946963</v>
      </c>
      <c r="O107" t="s">
        <v>28</v>
      </c>
      <c r="P107" s="15"/>
      <c r="Q107" s="15"/>
    </row>
    <row r="108" spans="1:18">
      <c r="J108" s="21">
        <f t="shared" si="24"/>
        <v>0</v>
      </c>
      <c r="K108" s="21"/>
      <c r="L108" s="3">
        <v>43259</v>
      </c>
      <c r="M108" s="16">
        <v>4.7603145241737366E-2</v>
      </c>
      <c r="P108" s="15"/>
      <c r="Q108" s="15"/>
    </row>
    <row r="109" spans="1:18">
      <c r="P109" s="63"/>
      <c r="Q109" s="15"/>
    </row>
    <row r="110" spans="1:18">
      <c r="P110" s="63"/>
    </row>
    <row r="111" spans="1:18">
      <c r="P111" s="63"/>
    </row>
    <row r="112" spans="1:18">
      <c r="P112" s="63"/>
    </row>
    <row r="113" spans="14:16">
      <c r="P113" s="63"/>
    </row>
    <row r="114" spans="14:16">
      <c r="P114" s="63"/>
    </row>
    <row r="115" spans="14:16">
      <c r="P115" s="63"/>
    </row>
    <row r="116" spans="14:16">
      <c r="P116" s="63"/>
    </row>
    <row r="117" spans="14:16">
      <c r="P117" s="63"/>
    </row>
    <row r="118" spans="14:16">
      <c r="P118" s="63"/>
    </row>
    <row r="119" spans="14:16">
      <c r="P119" s="63"/>
    </row>
    <row r="120" spans="14:16">
      <c r="P120" s="63"/>
    </row>
    <row r="121" spans="14:16">
      <c r="P121" s="63"/>
    </row>
    <row r="122" spans="14:16">
      <c r="P122" s="63"/>
    </row>
    <row r="123" spans="14:16">
      <c r="P123" s="63"/>
    </row>
    <row r="124" spans="14:16">
      <c r="P124" s="63"/>
    </row>
    <row r="125" spans="14:16">
      <c r="P125" s="63"/>
    </row>
    <row r="126" spans="14:16">
      <c r="N126">
        <f>SUMIF(C:C,"=医药",J:J)/SUMIF(C:C,"=医药",M:M)*-1</f>
        <v>29.393669147742237</v>
      </c>
      <c r="P126" s="63"/>
    </row>
    <row r="127" spans="14:16">
      <c r="P127" s="63"/>
    </row>
    <row r="128" spans="14:16">
      <c r="P128" s="63"/>
    </row>
    <row r="129" spans="16:16">
      <c r="P129" s="63"/>
    </row>
    <row r="130" spans="16:16">
      <c r="P130" s="63"/>
    </row>
    <row r="131" spans="16:16">
      <c r="P131" s="63"/>
    </row>
    <row r="132" spans="16:16">
      <c r="P132" s="63"/>
    </row>
    <row r="133" spans="16:16">
      <c r="P133" s="63"/>
    </row>
    <row r="134" spans="16:16">
      <c r="P134" s="63"/>
    </row>
    <row r="135" spans="16:16">
      <c r="P135" s="63"/>
    </row>
    <row r="136" spans="16:16">
      <c r="P136" s="63"/>
    </row>
  </sheetData>
  <autoFilter ref="A1:W108"/>
  <sortState ref="A2:F60">
    <sortCondition ref="A1"/>
  </sortState>
  <mergeCells count="2">
    <mergeCell ref="Y19:Y20"/>
    <mergeCell ref="Y23:Y24"/>
  </mergeCells>
  <phoneticPr fontId="3" type="noConversion"/>
  <conditionalFormatting sqref="N2:N16 N26:N42 N19:N24">
    <cfRule type="cellIs" dxfId="42" priority="53" operator="greaterThan">
      <formula>3</formula>
    </cfRule>
  </conditionalFormatting>
  <conditionalFormatting sqref="N43:N47 N102:N104">
    <cfRule type="cellIs" dxfId="41" priority="52" operator="greaterThan">
      <formula>3</formula>
    </cfRule>
  </conditionalFormatting>
  <conditionalFormatting sqref="N48">
    <cfRule type="cellIs" dxfId="40" priority="50" operator="greaterThan">
      <formula>3</formula>
    </cfRule>
  </conditionalFormatting>
  <conditionalFormatting sqref="N49">
    <cfRule type="cellIs" dxfId="39" priority="49" operator="greaterThan">
      <formula>3</formula>
    </cfRule>
  </conditionalFormatting>
  <conditionalFormatting sqref="N50">
    <cfRule type="cellIs" dxfId="38" priority="48" operator="greaterThan">
      <formula>3</formula>
    </cfRule>
  </conditionalFormatting>
  <conditionalFormatting sqref="N52">
    <cfRule type="cellIs" dxfId="37" priority="47" operator="greaterThan">
      <formula>3</formula>
    </cfRule>
  </conditionalFormatting>
  <conditionalFormatting sqref="N53">
    <cfRule type="cellIs" dxfId="36" priority="46" operator="greaterThan">
      <formula>3</formula>
    </cfRule>
  </conditionalFormatting>
  <conditionalFormatting sqref="N54 N60 N77">
    <cfRule type="cellIs" dxfId="35" priority="45" operator="greaterThan">
      <formula>3</formula>
    </cfRule>
  </conditionalFormatting>
  <conditionalFormatting sqref="N51">
    <cfRule type="cellIs" dxfId="34" priority="44" operator="greaterThan">
      <formula>3</formula>
    </cfRule>
  </conditionalFormatting>
  <conditionalFormatting sqref="N25">
    <cfRule type="cellIs" dxfId="33" priority="42" operator="greaterThan">
      <formula>3</formula>
    </cfRule>
  </conditionalFormatting>
  <conditionalFormatting sqref="N55">
    <cfRule type="cellIs" dxfId="32" priority="40" operator="greaterThan">
      <formula>3</formula>
    </cfRule>
  </conditionalFormatting>
  <conditionalFormatting sqref="N56">
    <cfRule type="cellIs" dxfId="31" priority="39" operator="greaterThan">
      <formula>3</formula>
    </cfRule>
  </conditionalFormatting>
  <conditionalFormatting sqref="N57">
    <cfRule type="cellIs" dxfId="30" priority="37" operator="greaterThan">
      <formula>3</formula>
    </cfRule>
  </conditionalFormatting>
  <conditionalFormatting sqref="N58">
    <cfRule type="cellIs" dxfId="29" priority="36" operator="greaterThan">
      <formula>3</formula>
    </cfRule>
  </conditionalFormatting>
  <conditionalFormatting sqref="N59">
    <cfRule type="cellIs" dxfId="28" priority="35" operator="greaterThan">
      <formula>3</formula>
    </cfRule>
  </conditionalFormatting>
  <conditionalFormatting sqref="N70">
    <cfRule type="cellIs" dxfId="27" priority="34" operator="greaterThan">
      <formula>3</formula>
    </cfRule>
  </conditionalFormatting>
  <conditionalFormatting sqref="N61">
    <cfRule type="cellIs" dxfId="26" priority="32" operator="greaterThan">
      <formula>3</formula>
    </cfRule>
  </conditionalFormatting>
  <conditionalFormatting sqref="N62:N63 N69">
    <cfRule type="cellIs" dxfId="25" priority="31" operator="greaterThan">
      <formula>3</formula>
    </cfRule>
  </conditionalFormatting>
  <conditionalFormatting sqref="N66">
    <cfRule type="cellIs" dxfId="24" priority="27" operator="greaterThan">
      <formula>3</formula>
    </cfRule>
  </conditionalFormatting>
  <conditionalFormatting sqref="N65">
    <cfRule type="cellIs" dxfId="23" priority="28" operator="greaterThan">
      <formula>3</formula>
    </cfRule>
  </conditionalFormatting>
  <conditionalFormatting sqref="N64">
    <cfRule type="cellIs" dxfId="22" priority="29" operator="greaterThan">
      <formula>3</formula>
    </cfRule>
  </conditionalFormatting>
  <conditionalFormatting sqref="N68">
    <cfRule type="cellIs" dxfId="21" priority="25" operator="greaterThan">
      <formula>3</formula>
    </cfRule>
  </conditionalFormatting>
  <conditionalFormatting sqref="N67">
    <cfRule type="cellIs" dxfId="20" priority="26" operator="greaterThan">
      <formula>3</formula>
    </cfRule>
  </conditionalFormatting>
  <conditionalFormatting sqref="N17:N18">
    <cfRule type="cellIs" dxfId="19" priority="24" operator="greaterThan">
      <formula>3</formula>
    </cfRule>
  </conditionalFormatting>
  <conditionalFormatting sqref="N76">
    <cfRule type="cellIs" dxfId="18" priority="23" operator="greaterThan">
      <formula>3</formula>
    </cfRule>
  </conditionalFormatting>
  <conditionalFormatting sqref="N71">
    <cfRule type="cellIs" dxfId="17" priority="22" operator="greaterThan">
      <formula>3</formula>
    </cfRule>
  </conditionalFormatting>
  <conditionalFormatting sqref="N73">
    <cfRule type="cellIs" dxfId="16" priority="21" operator="greaterThan">
      <formula>3</formula>
    </cfRule>
  </conditionalFormatting>
  <conditionalFormatting sqref="N75">
    <cfRule type="cellIs" dxfId="15" priority="20" operator="greaterThan">
      <formula>3</formula>
    </cfRule>
  </conditionalFormatting>
  <conditionalFormatting sqref="N74">
    <cfRule type="cellIs" dxfId="14" priority="19" operator="greaterThan">
      <formula>3</formula>
    </cfRule>
  </conditionalFormatting>
  <conditionalFormatting sqref="N72">
    <cfRule type="cellIs" dxfId="13" priority="17" operator="greaterThan">
      <formula>3</formula>
    </cfRule>
  </conditionalFormatting>
  <conditionalFormatting sqref="N78">
    <cfRule type="cellIs" dxfId="12" priority="16" operator="greaterThan">
      <formula>3</formula>
    </cfRule>
  </conditionalFormatting>
  <conditionalFormatting sqref="N79">
    <cfRule type="cellIs" dxfId="11" priority="15" operator="greaterThan">
      <formula>3</formula>
    </cfRule>
  </conditionalFormatting>
  <conditionalFormatting sqref="N80">
    <cfRule type="cellIs" dxfId="10" priority="14" operator="greaterThan">
      <formula>3</formula>
    </cfRule>
  </conditionalFormatting>
  <conditionalFormatting sqref="N81">
    <cfRule type="cellIs" dxfId="9" priority="13" operator="greaterThan">
      <formula>3</formula>
    </cfRule>
  </conditionalFormatting>
  <conditionalFormatting sqref="N88:N101">
    <cfRule type="cellIs" dxfId="8" priority="8" operator="greaterThan">
      <formula>3</formula>
    </cfRule>
  </conditionalFormatting>
  <conditionalFormatting sqref="N82">
    <cfRule type="cellIs" dxfId="7" priority="7" operator="greaterThan">
      <formula>3</formula>
    </cfRule>
  </conditionalFormatting>
  <conditionalFormatting sqref="N83">
    <cfRule type="cellIs" dxfId="6" priority="6" operator="greaterThan">
      <formula>3</formula>
    </cfRule>
  </conditionalFormatting>
  <conditionalFormatting sqref="N84">
    <cfRule type="cellIs" dxfId="5" priority="5" operator="greaterThan">
      <formula>3</formula>
    </cfRule>
  </conditionalFormatting>
  <conditionalFormatting sqref="N85">
    <cfRule type="cellIs" dxfId="4" priority="4" operator="greaterThan">
      <formula>3</formula>
    </cfRule>
  </conditionalFormatting>
  <conditionalFormatting sqref="N86">
    <cfRule type="cellIs" dxfId="2" priority="2" operator="greaterThan">
      <formula>3</formula>
    </cfRule>
  </conditionalFormatting>
  <conditionalFormatting sqref="N87">
    <cfRule type="cellIs" dxfId="1" priority="1" operator="greaterThan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74"/>
  <sheetViews>
    <sheetView zoomScale="90" zoomScaleNormal="90" zoomScalePageLayoutView="90" workbookViewId="0">
      <selection activeCell="D63" sqref="D63"/>
    </sheetView>
  </sheetViews>
  <sheetFormatPr defaultColWidth="8.875" defaultRowHeight="13.5"/>
  <cols>
    <col min="3" max="3" width="7.5" bestFit="1" customWidth="1"/>
    <col min="4" max="4" width="8.875" bestFit="1" customWidth="1"/>
    <col min="6" max="7" width="11.625" bestFit="1" customWidth="1"/>
    <col min="8" max="8" width="10.5" bestFit="1" customWidth="1"/>
    <col min="9" max="18" width="11.625" bestFit="1" customWidth="1"/>
  </cols>
  <sheetData>
    <row r="1" spans="2:19">
      <c r="R1" s="15"/>
    </row>
    <row r="2" spans="2:19">
      <c r="B2" t="s">
        <v>86</v>
      </c>
      <c r="C2" t="s">
        <v>88</v>
      </c>
      <c r="D2" t="s">
        <v>85</v>
      </c>
      <c r="E2" t="s">
        <v>89</v>
      </c>
      <c r="F2" s="15">
        <v>43327</v>
      </c>
      <c r="G2" s="15">
        <v>43286</v>
      </c>
      <c r="H2" s="15">
        <v>43208</v>
      </c>
      <c r="I2" s="15">
        <v>43192</v>
      </c>
      <c r="J2" s="15">
        <v>43160</v>
      </c>
      <c r="K2" s="15">
        <v>43144</v>
      </c>
      <c r="L2" s="15">
        <v>43098</v>
      </c>
      <c r="M2" s="15">
        <v>43083</v>
      </c>
      <c r="N2" s="15">
        <v>42878</v>
      </c>
      <c r="O2" s="15">
        <v>42760</v>
      </c>
      <c r="P2" s="15">
        <v>42734</v>
      </c>
      <c r="Q2" s="15">
        <v>42719</v>
      </c>
      <c r="S2" s="15"/>
    </row>
    <row r="3" spans="2:19">
      <c r="B3" s="29" t="s">
        <v>87</v>
      </c>
      <c r="C3" s="46">
        <v>100032</v>
      </c>
      <c r="D3" s="21">
        <f>已投部分年化收益率!T13</f>
        <v>4.1875474563401669</v>
      </c>
      <c r="E3" s="21">
        <f>AVERAGE($F3:AA3)</f>
        <v>2.6248333333333331</v>
      </c>
      <c r="F3" s="21">
        <v>2.5920000000000001</v>
      </c>
      <c r="G3" s="21">
        <v>2.5939999999999999</v>
      </c>
      <c r="H3" s="21">
        <v>2.6869999999999998</v>
      </c>
      <c r="I3" s="21">
        <v>2.714</v>
      </c>
      <c r="J3" s="21">
        <v>2.7639999999999998</v>
      </c>
      <c r="K3" s="21">
        <v>2.7429999999999999</v>
      </c>
      <c r="L3" s="21">
        <v>2.7410000000000001</v>
      </c>
      <c r="M3" s="21">
        <v>2.72</v>
      </c>
      <c r="N3" s="21">
        <v>2.5390000000000001</v>
      </c>
      <c r="O3" s="21">
        <v>2.492</v>
      </c>
      <c r="P3" s="21">
        <v>2.456</v>
      </c>
      <c r="Q3" s="21">
        <v>2.456</v>
      </c>
      <c r="S3" s="15"/>
    </row>
    <row r="4" spans="2:19">
      <c r="D4" s="30" t="s">
        <v>90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S4" s="15"/>
    </row>
    <row r="5" spans="2:19" s="29" customFormat="1">
      <c r="D5" s="31">
        <f>E3*D3</f>
        <v>10.991614148316881</v>
      </c>
      <c r="R5" s="47"/>
    </row>
    <row r="6" spans="2:19" s="29" customFormat="1">
      <c r="D6" s="31"/>
      <c r="R6" s="47"/>
    </row>
    <row r="7" spans="2:19">
      <c r="B7" s="29" t="s">
        <v>91</v>
      </c>
      <c r="C7" s="32" t="s">
        <v>88</v>
      </c>
      <c r="D7" s="33" t="s">
        <v>96</v>
      </c>
      <c r="E7" s="33" t="s">
        <v>89</v>
      </c>
      <c r="F7" s="34">
        <v>43265</v>
      </c>
      <c r="G7" s="34">
        <v>43216</v>
      </c>
      <c r="H7" s="34">
        <v>43137</v>
      </c>
      <c r="I7" s="34">
        <v>43132</v>
      </c>
      <c r="J7" s="34">
        <v>43098</v>
      </c>
      <c r="K7" s="34">
        <v>43069</v>
      </c>
      <c r="L7" s="34">
        <v>43035</v>
      </c>
      <c r="M7" s="34">
        <v>43007</v>
      </c>
      <c r="N7" s="34">
        <v>42979</v>
      </c>
      <c r="O7" s="34">
        <v>42853</v>
      </c>
      <c r="P7" s="35"/>
    </row>
    <row r="8" spans="2:19">
      <c r="C8" s="36" t="s">
        <v>92</v>
      </c>
      <c r="D8" s="37">
        <f>已投部分年化收益率!T27</f>
        <v>10.747435271128481</v>
      </c>
      <c r="E8" s="37">
        <v>2.3376000000000001</v>
      </c>
      <c r="F8" s="37">
        <v>2.1642999999999999</v>
      </c>
      <c r="G8" s="37">
        <v>2.2256</v>
      </c>
      <c r="H8" s="37">
        <v>2.2067000000000001</v>
      </c>
      <c r="I8" s="37">
        <v>2.3075000000000001</v>
      </c>
      <c r="J8" s="37">
        <v>2.3536000000000001</v>
      </c>
      <c r="K8" s="37">
        <v>2.3534999999999999</v>
      </c>
      <c r="L8" s="37">
        <v>2.5004</v>
      </c>
      <c r="M8" s="37">
        <v>2.4887000000000001</v>
      </c>
      <c r="N8" s="37">
        <v>2.4582999999999999</v>
      </c>
      <c r="O8" s="37">
        <v>2.3018000000000001</v>
      </c>
      <c r="P8" s="38"/>
    </row>
    <row r="9" spans="2:19">
      <c r="C9" s="39"/>
      <c r="D9" s="37"/>
      <c r="E9" s="37"/>
      <c r="F9" s="37">
        <v>1</v>
      </c>
      <c r="G9" s="37">
        <v>1</v>
      </c>
      <c r="H9" s="37">
        <v>1</v>
      </c>
      <c r="I9" s="37">
        <v>1</v>
      </c>
      <c r="J9" s="37">
        <v>1</v>
      </c>
      <c r="K9" s="37">
        <v>2</v>
      </c>
      <c r="L9" s="37">
        <v>1</v>
      </c>
      <c r="M9" s="37">
        <v>1</v>
      </c>
      <c r="N9" s="37">
        <v>1</v>
      </c>
      <c r="O9" s="37">
        <v>1</v>
      </c>
      <c r="P9" s="38"/>
    </row>
    <row r="10" spans="2:19">
      <c r="C10" s="36" t="s">
        <v>94</v>
      </c>
      <c r="D10" s="37" t="s">
        <v>96</v>
      </c>
      <c r="E10" s="37" t="s">
        <v>89</v>
      </c>
      <c r="F10" s="40">
        <v>43357</v>
      </c>
      <c r="G10" s="15">
        <v>43332</v>
      </c>
      <c r="H10" s="40">
        <v>43270</v>
      </c>
      <c r="I10" s="40">
        <v>43251</v>
      </c>
      <c r="J10" s="40">
        <v>43235</v>
      </c>
      <c r="K10" s="40">
        <v>43041</v>
      </c>
      <c r="L10" s="40">
        <v>42878</v>
      </c>
      <c r="M10" s="40">
        <v>42430</v>
      </c>
      <c r="N10" s="37"/>
      <c r="O10" s="37"/>
      <c r="P10" s="38"/>
    </row>
    <row r="11" spans="2:19">
      <c r="D11" s="37">
        <f>已投部分年化收益率!T28</f>
        <v>37.571157495256166</v>
      </c>
      <c r="E11" s="37">
        <v>0.58919999999999995</v>
      </c>
      <c r="F11">
        <v>0.51300000000000001</v>
      </c>
      <c r="G11">
        <v>0.52900000000000003</v>
      </c>
      <c r="H11" s="37">
        <v>0.55800000000000005</v>
      </c>
      <c r="I11" s="37">
        <v>0.61899999999999999</v>
      </c>
      <c r="J11" s="37">
        <v>0.64400000000000002</v>
      </c>
      <c r="K11" s="37">
        <v>0.68899999999999995</v>
      </c>
      <c r="L11" s="37">
        <v>0.61299999999999999</v>
      </c>
      <c r="M11" s="37">
        <v>0.58399999999999996</v>
      </c>
      <c r="N11" s="37"/>
      <c r="O11" s="37"/>
      <c r="P11" s="38"/>
    </row>
    <row r="12" spans="2:19">
      <c r="C12" s="39"/>
      <c r="D12" s="37"/>
      <c r="E12" s="37"/>
      <c r="F12" s="70">
        <v>1</v>
      </c>
      <c r="G12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/>
      <c r="O12" s="37"/>
      <c r="P12" s="38"/>
    </row>
    <row r="13" spans="2:19">
      <c r="C13" s="36" t="s">
        <v>93</v>
      </c>
      <c r="D13" s="37" t="s">
        <v>96</v>
      </c>
      <c r="E13" s="37" t="s">
        <v>89</v>
      </c>
      <c r="F13" s="40">
        <v>43346</v>
      </c>
      <c r="G13" s="40">
        <v>43313</v>
      </c>
      <c r="H13" s="37"/>
      <c r="I13" s="37"/>
      <c r="J13" s="37"/>
      <c r="K13" s="37"/>
      <c r="L13" s="37"/>
      <c r="M13" s="37"/>
      <c r="N13" s="37"/>
      <c r="O13" s="37"/>
      <c r="P13" s="38"/>
    </row>
    <row r="14" spans="2:19">
      <c r="C14" s="39"/>
      <c r="D14" s="37">
        <f>已投部分年化收益率!T29</f>
        <v>10.725893824485373</v>
      </c>
      <c r="E14" s="37">
        <v>1.9490000000000001</v>
      </c>
      <c r="F14" s="37">
        <v>1.863</v>
      </c>
      <c r="G14" s="37">
        <v>1.9490000000000001</v>
      </c>
      <c r="H14" s="37"/>
      <c r="I14" s="37"/>
      <c r="J14" s="37"/>
      <c r="K14" s="37"/>
      <c r="L14" s="37"/>
      <c r="M14" s="37"/>
      <c r="N14" s="37"/>
      <c r="O14" s="37"/>
      <c r="P14" s="38"/>
    </row>
    <row r="15" spans="2:19">
      <c r="C15" s="39"/>
      <c r="D15" s="37"/>
      <c r="E15" s="37"/>
      <c r="F15" s="70">
        <v>1</v>
      </c>
      <c r="G15" s="37">
        <v>1</v>
      </c>
      <c r="H15" s="37"/>
      <c r="I15" s="37"/>
      <c r="J15" s="37"/>
      <c r="K15" s="37"/>
      <c r="L15" s="37"/>
      <c r="M15" s="37"/>
      <c r="N15" s="37"/>
      <c r="O15" s="37"/>
      <c r="P15" s="38"/>
    </row>
    <row r="16" spans="2:19">
      <c r="C16" s="36" t="s">
        <v>95</v>
      </c>
      <c r="D16" s="37" t="s">
        <v>96</v>
      </c>
      <c r="E16" s="37" t="s">
        <v>89</v>
      </c>
      <c r="F16" s="40">
        <v>43318</v>
      </c>
      <c r="G16" s="37"/>
      <c r="H16" s="37"/>
      <c r="I16" s="37"/>
      <c r="J16" s="37"/>
      <c r="K16" s="37"/>
      <c r="L16" s="37"/>
      <c r="M16" s="37"/>
      <c r="N16" s="37"/>
      <c r="O16" s="37"/>
      <c r="P16" s="38"/>
    </row>
    <row r="17" spans="2:16">
      <c r="C17" s="39"/>
      <c r="D17" s="37">
        <f>已投部分年化收益率!T30</f>
        <v>23.551802069703818</v>
      </c>
      <c r="E17" s="37">
        <v>0.8407</v>
      </c>
      <c r="F17" s="37">
        <v>0.8407</v>
      </c>
      <c r="G17" s="37"/>
      <c r="H17" s="37"/>
      <c r="I17" s="37"/>
      <c r="J17" s="37"/>
      <c r="K17" s="37"/>
      <c r="L17" s="37"/>
      <c r="M17" s="37"/>
      <c r="N17" s="37"/>
      <c r="O17" s="37"/>
      <c r="P17" s="38"/>
    </row>
    <row r="18" spans="2:16">
      <c r="C18" s="39"/>
      <c r="D18" s="37"/>
      <c r="E18" s="37"/>
      <c r="F18" s="37">
        <v>1</v>
      </c>
      <c r="G18" s="37"/>
      <c r="H18" s="37"/>
      <c r="I18" s="37"/>
      <c r="J18" s="37"/>
      <c r="K18" s="37"/>
      <c r="L18" s="37"/>
      <c r="M18" s="37"/>
      <c r="N18" s="37"/>
      <c r="O18" s="37"/>
      <c r="P18" s="38"/>
    </row>
    <row r="19" spans="2:16">
      <c r="C19" s="39"/>
      <c r="D19" s="41" t="s">
        <v>97</v>
      </c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</row>
    <row r="20" spans="2:16">
      <c r="C20" s="42"/>
      <c r="D20" s="43">
        <f>(E8*D8*SUM(F9:Z9)+E11*D11*SUM(F12:AA12)+E14*D14*SUM(F15:AA15)+E17*D17*SUM(F18:Z18))/(SUM(F9:Z9)+SUM(F12:AA12)+SUM(F15:AA15)+SUM(F18:Z18))</f>
        <v>23.411826985689665</v>
      </c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5"/>
    </row>
    <row r="21" spans="2:16">
      <c r="C21" s="37"/>
      <c r="D21" s="41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2:16">
      <c r="B22" t="s">
        <v>86</v>
      </c>
      <c r="C22" t="s">
        <v>88</v>
      </c>
      <c r="D22" t="s">
        <v>53</v>
      </c>
      <c r="E22" t="s">
        <v>89</v>
      </c>
      <c r="F22" s="15">
        <v>43364</v>
      </c>
      <c r="G22" s="15">
        <v>43286</v>
      </c>
      <c r="H22" s="15">
        <v>42719</v>
      </c>
      <c r="I22" s="15">
        <v>42536</v>
      </c>
      <c r="J22" s="15">
        <v>42493</v>
      </c>
      <c r="K22" s="15">
        <v>42461</v>
      </c>
      <c r="L22" s="15">
        <v>42430</v>
      </c>
      <c r="M22" s="15">
        <v>42401</v>
      </c>
      <c r="N22" s="15">
        <v>42380</v>
      </c>
      <c r="O22" s="15">
        <v>42255</v>
      </c>
      <c r="P22" s="15">
        <v>42219</v>
      </c>
    </row>
    <row r="23" spans="2:16">
      <c r="B23" s="29" t="s">
        <v>98</v>
      </c>
      <c r="C23" s="46" t="s">
        <v>99</v>
      </c>
      <c r="D23" s="21">
        <f>已投部分年化收益率!T26</f>
        <v>11.369710467706014</v>
      </c>
      <c r="E23" s="21">
        <f>0.7248</f>
        <v>0.7248</v>
      </c>
      <c r="F23" s="21">
        <v>0.88700000000000001</v>
      </c>
      <c r="G23">
        <v>0.81200000000000006</v>
      </c>
      <c r="H23">
        <v>0.76800000000000002</v>
      </c>
      <c r="I23">
        <v>0.68899999999999995</v>
      </c>
      <c r="J23">
        <v>0.70299999999999996</v>
      </c>
      <c r="K23">
        <v>0.70599999999999996</v>
      </c>
      <c r="L23">
        <v>0.64800000000000002</v>
      </c>
      <c r="M23">
        <v>0.63700000000000001</v>
      </c>
      <c r="N23">
        <v>0.69399999999999995</v>
      </c>
      <c r="O23">
        <v>0.72099999999999997</v>
      </c>
      <c r="P23">
        <v>0.81699999999999995</v>
      </c>
    </row>
    <row r="24" spans="2:16">
      <c r="D24" s="30" t="s">
        <v>90</v>
      </c>
      <c r="F24">
        <v>1</v>
      </c>
      <c r="G24">
        <v>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2:16">
      <c r="D25" s="31">
        <f>E23*D23</f>
        <v>8.2407661469933196</v>
      </c>
    </row>
    <row r="27" spans="2:16">
      <c r="B27" t="s">
        <v>86</v>
      </c>
      <c r="C27" t="s">
        <v>88</v>
      </c>
      <c r="D27" t="s">
        <v>53</v>
      </c>
      <c r="E27" t="s">
        <v>89</v>
      </c>
      <c r="F27" s="15">
        <v>43318</v>
      </c>
      <c r="G27" s="15">
        <v>43137</v>
      </c>
      <c r="H27" s="15">
        <v>42947</v>
      </c>
      <c r="I27" s="15">
        <v>42878</v>
      </c>
      <c r="J27" s="15">
        <v>42853</v>
      </c>
      <c r="K27" s="15">
        <v>42850</v>
      </c>
      <c r="L27" s="15">
        <v>42825</v>
      </c>
      <c r="M27" s="15">
        <v>42751</v>
      </c>
      <c r="N27" s="15">
        <v>42719</v>
      </c>
    </row>
    <row r="28" spans="2:16">
      <c r="B28" s="29" t="s">
        <v>68</v>
      </c>
      <c r="C28" s="46" t="s">
        <v>100</v>
      </c>
      <c r="D28" s="21">
        <f>已投部分年化收益率!T20</f>
        <v>37.27649650168437</v>
      </c>
      <c r="E28">
        <v>0.79069999999999996</v>
      </c>
      <c r="F28">
        <v>0.7732</v>
      </c>
      <c r="G28">
        <v>0.78710000000000002</v>
      </c>
      <c r="H28">
        <v>0.78820000000000001</v>
      </c>
      <c r="I28">
        <v>0.78549999999999998</v>
      </c>
      <c r="J28">
        <v>0.80200000000000005</v>
      </c>
      <c r="K28">
        <v>0.80249999999999999</v>
      </c>
      <c r="L28">
        <v>0.81530000000000002</v>
      </c>
      <c r="M28">
        <v>0.76600000000000001</v>
      </c>
      <c r="N28">
        <v>0.79020000000000001</v>
      </c>
    </row>
    <row r="29" spans="2:16">
      <c r="D29" s="30" t="s">
        <v>90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2:16">
      <c r="D30" s="31">
        <f>E28*D28</f>
        <v>29.47452578388183</v>
      </c>
    </row>
    <row r="32" spans="2:16">
      <c r="B32" t="s">
        <v>86</v>
      </c>
      <c r="C32" t="s">
        <v>88</v>
      </c>
      <c r="D32" t="s">
        <v>53</v>
      </c>
      <c r="E32" t="s">
        <v>89</v>
      </c>
      <c r="F32" s="15">
        <v>43332</v>
      </c>
      <c r="G32" s="15">
        <v>43279</v>
      </c>
      <c r="H32" s="15">
        <v>42933</v>
      </c>
      <c r="I32" s="15">
        <v>42878</v>
      </c>
      <c r="J32" s="15">
        <v>42850</v>
      </c>
      <c r="K32" s="15">
        <v>42839</v>
      </c>
      <c r="L32" s="15">
        <v>42760</v>
      </c>
      <c r="M32" s="15">
        <v>42429</v>
      </c>
    </row>
    <row r="33" spans="2:17">
      <c r="B33" s="29" t="s">
        <v>104</v>
      </c>
      <c r="C33" s="46" t="s">
        <v>105</v>
      </c>
      <c r="D33" s="21">
        <f>已投部分年化收益率!T21</f>
        <v>25.05212334028311</v>
      </c>
      <c r="E33">
        <v>0.9577</v>
      </c>
      <c r="F33">
        <v>0.89680000000000004</v>
      </c>
      <c r="G33">
        <v>0.998</v>
      </c>
      <c r="H33">
        <v>0.99870000000000003</v>
      </c>
      <c r="I33">
        <v>0.99590000000000001</v>
      </c>
      <c r="J33">
        <v>0.99329999999999996</v>
      </c>
      <c r="K33">
        <v>0.99770000000000003</v>
      </c>
      <c r="L33">
        <v>0.95950000000000002</v>
      </c>
      <c r="M33">
        <v>0.81210000000000004</v>
      </c>
    </row>
    <row r="34" spans="2:17">
      <c r="D34" s="30" t="s">
        <v>90</v>
      </c>
      <c r="F34">
        <v>1</v>
      </c>
      <c r="G34">
        <v>1</v>
      </c>
      <c r="H34">
        <v>1</v>
      </c>
      <c r="I34">
        <v>2</v>
      </c>
      <c r="J34">
        <v>1</v>
      </c>
      <c r="K34">
        <v>1</v>
      </c>
      <c r="L34">
        <v>1</v>
      </c>
      <c r="M34">
        <v>1</v>
      </c>
    </row>
    <row r="35" spans="2:17">
      <c r="D35" s="31">
        <f>E33*D33</f>
        <v>23.992418522989134</v>
      </c>
    </row>
    <row r="37" spans="2:17">
      <c r="B37" t="s">
        <v>86</v>
      </c>
      <c r="C37" t="s">
        <v>88</v>
      </c>
      <c r="D37" t="s">
        <v>53</v>
      </c>
      <c r="E37" t="s">
        <v>89</v>
      </c>
      <c r="F37" s="15">
        <v>43279</v>
      </c>
      <c r="G37" s="15">
        <v>43216</v>
      </c>
      <c r="H37" s="15">
        <v>43144</v>
      </c>
      <c r="I37" s="15">
        <v>43069</v>
      </c>
      <c r="J37" s="15">
        <v>43041</v>
      </c>
      <c r="K37" s="15">
        <v>42979</v>
      </c>
      <c r="L37" s="15">
        <v>42675</v>
      </c>
      <c r="M37" s="15">
        <v>42499</v>
      </c>
    </row>
    <row r="38" spans="2:17">
      <c r="B38" s="29" t="s">
        <v>37</v>
      </c>
      <c r="C38" s="46" t="s">
        <v>106</v>
      </c>
      <c r="D38" s="21">
        <f>已投部分年化收益率!T24</f>
        <v>38.267949666913395</v>
      </c>
      <c r="E38">
        <v>0.71379999999999999</v>
      </c>
      <c r="F38">
        <v>0.59150000000000003</v>
      </c>
      <c r="G38">
        <v>0.68720000000000003</v>
      </c>
      <c r="H38">
        <v>0.67079999999999995</v>
      </c>
      <c r="I38">
        <v>0.76829999999999998</v>
      </c>
      <c r="J38">
        <v>0.80500000000000005</v>
      </c>
      <c r="K38">
        <v>0.77470000000000006</v>
      </c>
      <c r="L38">
        <v>0.78159999999999996</v>
      </c>
      <c r="M38">
        <v>0.68010000000000004</v>
      </c>
    </row>
    <row r="39" spans="2:17">
      <c r="D39" s="30" t="s">
        <v>90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</row>
    <row r="40" spans="2:17">
      <c r="D40" s="31">
        <f>D38*E38</f>
        <v>27.315662472242781</v>
      </c>
    </row>
    <row r="42" spans="2:17">
      <c r="B42" t="s">
        <v>86</v>
      </c>
      <c r="C42" t="s">
        <v>88</v>
      </c>
      <c r="D42" t="s">
        <v>53</v>
      </c>
      <c r="E42" t="s">
        <v>89</v>
      </c>
      <c r="F42" s="15">
        <v>43054</v>
      </c>
      <c r="G42" s="15">
        <v>42947</v>
      </c>
      <c r="H42" s="15">
        <v>42461</v>
      </c>
      <c r="I42" s="15">
        <v>42430</v>
      </c>
      <c r="J42" s="15">
        <v>42415</v>
      </c>
      <c r="K42" s="15">
        <v>42380</v>
      </c>
      <c r="L42" s="15">
        <v>42368</v>
      </c>
      <c r="M42" s="15">
        <v>42346</v>
      </c>
      <c r="N42" s="15">
        <v>42310</v>
      </c>
      <c r="O42" s="15">
        <v>42248</v>
      </c>
    </row>
    <row r="43" spans="2:17">
      <c r="B43" s="29" t="s">
        <v>71</v>
      </c>
      <c r="C43" s="46" t="s">
        <v>107</v>
      </c>
      <c r="D43" s="21">
        <f>已投部分年化收益率!T36</f>
        <v>7.5871224692997012</v>
      </c>
      <c r="E43">
        <v>1.0154000000000001</v>
      </c>
      <c r="F43">
        <v>1.5077</v>
      </c>
      <c r="G43">
        <v>1.4411</v>
      </c>
      <c r="H43">
        <v>1.012</v>
      </c>
      <c r="I43">
        <v>0.96699999999999997</v>
      </c>
      <c r="J43">
        <v>0.93899999999999995</v>
      </c>
      <c r="K43">
        <v>0.996</v>
      </c>
      <c r="L43">
        <v>1.0780000000000001</v>
      </c>
      <c r="M43">
        <v>1.0660000000000001</v>
      </c>
      <c r="N43">
        <v>1.0720000000000001</v>
      </c>
      <c r="O43">
        <v>1.0229999999999999</v>
      </c>
    </row>
    <row r="44" spans="2:17">
      <c r="D44" s="30" t="s">
        <v>90</v>
      </c>
      <c r="F44">
        <v>-1</v>
      </c>
      <c r="G44">
        <v>-1</v>
      </c>
      <c r="H44">
        <v>1</v>
      </c>
      <c r="I44">
        <v>1</v>
      </c>
      <c r="J44">
        <v>2</v>
      </c>
      <c r="K44">
        <v>1</v>
      </c>
      <c r="L44">
        <v>2</v>
      </c>
      <c r="M44">
        <v>1</v>
      </c>
      <c r="N44">
        <v>1</v>
      </c>
      <c r="O44">
        <v>1</v>
      </c>
    </row>
    <row r="45" spans="2:17">
      <c r="D45" s="31">
        <f>E43*D43</f>
        <v>7.7039641553269176</v>
      </c>
    </row>
    <row r="47" spans="2:17">
      <c r="B47" t="s">
        <v>86</v>
      </c>
      <c r="C47" s="32" t="s">
        <v>88</v>
      </c>
      <c r="D47" s="33" t="s">
        <v>53</v>
      </c>
      <c r="E47" s="33" t="s">
        <v>89</v>
      </c>
      <c r="F47" s="34">
        <v>43371</v>
      </c>
      <c r="G47" s="34">
        <v>43346</v>
      </c>
      <c r="H47" s="34">
        <v>43318</v>
      </c>
      <c r="I47" s="34">
        <v>43279</v>
      </c>
      <c r="J47" s="34">
        <v>43251</v>
      </c>
      <c r="K47" s="33"/>
      <c r="L47" s="33"/>
      <c r="M47" s="33"/>
      <c r="N47" s="33"/>
      <c r="O47" s="33"/>
      <c r="P47" s="33"/>
      <c r="Q47" s="35"/>
    </row>
    <row r="48" spans="2:17">
      <c r="B48" s="29" t="s">
        <v>109</v>
      </c>
      <c r="C48" s="36" t="s">
        <v>110</v>
      </c>
      <c r="D48" s="48">
        <f>已投部分年化收益率!T31</f>
        <v>6.8242848803269114</v>
      </c>
      <c r="E48">
        <v>1.6929000000000001</v>
      </c>
      <c r="F48">
        <v>1.173</v>
      </c>
      <c r="G48" s="37">
        <v>1.6539999999999999</v>
      </c>
      <c r="H48" s="37">
        <v>1.627</v>
      </c>
      <c r="I48" s="37">
        <v>1.669</v>
      </c>
      <c r="J48" s="37">
        <v>1.802</v>
      </c>
      <c r="K48" s="37"/>
      <c r="L48" s="37"/>
      <c r="M48" s="37"/>
      <c r="N48" s="37"/>
      <c r="O48" s="37"/>
      <c r="P48" s="37"/>
      <c r="Q48" s="38"/>
    </row>
    <row r="49" spans="2:17">
      <c r="C49" s="39"/>
      <c r="D49" s="37"/>
      <c r="E49" s="37"/>
      <c r="F49" s="70">
        <v>1</v>
      </c>
      <c r="G49" s="70">
        <v>1</v>
      </c>
      <c r="H49" s="37">
        <v>1</v>
      </c>
      <c r="I49" s="37">
        <v>1</v>
      </c>
      <c r="J49" s="37">
        <v>1</v>
      </c>
      <c r="K49" s="37"/>
      <c r="L49" s="37"/>
      <c r="M49" s="37"/>
      <c r="N49" s="37"/>
      <c r="O49" s="37"/>
      <c r="P49" s="37"/>
      <c r="Q49" s="38"/>
    </row>
    <row r="50" spans="2:17">
      <c r="C50" s="36" t="s">
        <v>111</v>
      </c>
      <c r="D50" s="37" t="s">
        <v>53</v>
      </c>
      <c r="E50" s="37" t="s">
        <v>89</v>
      </c>
      <c r="F50" s="40">
        <v>42545</v>
      </c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8"/>
    </row>
    <row r="51" spans="2:17">
      <c r="C51" s="39"/>
      <c r="D51" s="37">
        <f>已投部分年化收益率!T32</f>
        <v>10.236427320490368</v>
      </c>
      <c r="E51" s="37">
        <v>0.97399999999999998</v>
      </c>
      <c r="F51" s="37">
        <v>0.97399999999999998</v>
      </c>
      <c r="G51" s="37"/>
      <c r="H51" s="37"/>
      <c r="I51" s="40"/>
      <c r="J51" s="37"/>
      <c r="K51" s="40"/>
      <c r="L51" s="37"/>
      <c r="M51" s="40"/>
      <c r="N51" s="37"/>
      <c r="O51" s="37"/>
      <c r="P51" s="37"/>
      <c r="Q51" s="38"/>
    </row>
    <row r="52" spans="2:17">
      <c r="C52" s="39"/>
      <c r="D52" s="49" t="s">
        <v>90</v>
      </c>
      <c r="E52" s="37"/>
      <c r="F52" s="37">
        <v>1</v>
      </c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8"/>
    </row>
    <row r="53" spans="2:17">
      <c r="C53" s="42"/>
      <c r="D53" s="43">
        <f>(E48*D48*SUM(G49:AB49)+E51*D51*SUM(F52:AA52))/(SUM(G49:AB49)+SUM(F52:AA52))</f>
        <v>11.236321541155867</v>
      </c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5"/>
    </row>
    <row r="55" spans="2:17">
      <c r="B55" t="s">
        <v>86</v>
      </c>
      <c r="C55" t="s">
        <v>88</v>
      </c>
      <c r="D55" t="s">
        <v>53</v>
      </c>
      <c r="E55" t="s">
        <v>89</v>
      </c>
      <c r="F55" s="15">
        <v>43332</v>
      </c>
      <c r="G55" s="15">
        <v>43297</v>
      </c>
      <c r="H55" s="15">
        <v>43235</v>
      </c>
      <c r="I55" s="15">
        <v>43119</v>
      </c>
    </row>
    <row r="56" spans="2:17">
      <c r="B56" s="29" t="s">
        <v>112</v>
      </c>
      <c r="C56" s="46" t="s">
        <v>113</v>
      </c>
      <c r="D56" s="21">
        <f>已投部分年化收益率!T33</f>
        <v>33.924549549549553</v>
      </c>
      <c r="E56">
        <v>0.87860000000000005</v>
      </c>
      <c r="F56">
        <v>0.72799999999999998</v>
      </c>
      <c r="G56">
        <v>0.80289999999999995</v>
      </c>
      <c r="H56">
        <v>0.93440000000000001</v>
      </c>
      <c r="I56">
        <v>0.99590000000000001</v>
      </c>
    </row>
    <row r="57" spans="2:17">
      <c r="D57" s="30" t="s">
        <v>90</v>
      </c>
      <c r="F57">
        <v>1</v>
      </c>
      <c r="G57">
        <v>1</v>
      </c>
      <c r="H57">
        <v>1</v>
      </c>
      <c r="I57">
        <v>2</v>
      </c>
    </row>
    <row r="58" spans="2:17">
      <c r="D58" s="31">
        <f>E56*D56</f>
        <v>29.806109234234238</v>
      </c>
    </row>
    <row r="60" spans="2:17">
      <c r="B60" t="s">
        <v>86</v>
      </c>
      <c r="C60" t="s">
        <v>88</v>
      </c>
      <c r="D60" t="s">
        <v>53</v>
      </c>
      <c r="E60" t="s">
        <v>89</v>
      </c>
      <c r="F60" s="15">
        <v>43364</v>
      </c>
      <c r="G60" s="15">
        <v>43279</v>
      </c>
      <c r="H60" s="15">
        <v>43265</v>
      </c>
      <c r="I60" s="15"/>
    </row>
    <row r="61" spans="2:17">
      <c r="B61" s="29" t="s">
        <v>226</v>
      </c>
      <c r="C61" s="46" t="s">
        <v>196</v>
      </c>
      <c r="D61" s="21">
        <f>已投部分年化收益率!V34</f>
        <v>1.2685443990539669</v>
      </c>
      <c r="E61">
        <v>0.91320000000000001</v>
      </c>
      <c r="F61">
        <v>0.93030000000000002</v>
      </c>
      <c r="G61">
        <v>0.86599999999999999</v>
      </c>
      <c r="H61">
        <v>0.94399999999999995</v>
      </c>
    </row>
    <row r="62" spans="2:17">
      <c r="D62" s="30" t="s">
        <v>227</v>
      </c>
      <c r="F62">
        <v>1</v>
      </c>
      <c r="G62">
        <v>1</v>
      </c>
      <c r="H62">
        <v>1</v>
      </c>
    </row>
    <row r="63" spans="2:17">
      <c r="D63" s="31">
        <f>E61*D61</f>
        <v>1.1584347452160826</v>
      </c>
    </row>
    <row r="66" spans="2:7">
      <c r="D66" s="46"/>
      <c r="E66" s="21"/>
    </row>
    <row r="67" spans="2:7">
      <c r="B67" s="15"/>
      <c r="D67" s="46"/>
      <c r="E67" s="21"/>
    </row>
    <row r="68" spans="2:7">
      <c r="B68" s="15"/>
      <c r="D68" s="46"/>
      <c r="E68" s="21"/>
      <c r="G68" s="15"/>
    </row>
    <row r="69" spans="2:7">
      <c r="B69" s="15"/>
      <c r="D69" s="46"/>
      <c r="E69" s="21"/>
    </row>
    <row r="70" spans="2:7">
      <c r="B70" s="15"/>
      <c r="D70" s="46"/>
      <c r="E70" s="21"/>
      <c r="G70" s="15"/>
    </row>
    <row r="71" spans="2:7">
      <c r="B71" s="15"/>
      <c r="D71" s="46"/>
      <c r="E71" s="21"/>
    </row>
    <row r="72" spans="2:7">
      <c r="B72" s="15"/>
      <c r="D72" s="46"/>
      <c r="E72" s="21"/>
      <c r="G72" s="15"/>
    </row>
    <row r="73" spans="2:7">
      <c r="B73" s="15"/>
      <c r="D73" s="46"/>
      <c r="E73" s="21"/>
    </row>
    <row r="74" spans="2:7">
      <c r="E74" s="21"/>
    </row>
  </sheetData>
  <sortState ref="Y13:Y23">
    <sortCondition descending="1" ref="Y1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8"/>
  <sheetViews>
    <sheetView workbookViewId="0">
      <selection activeCell="E41" sqref="E41"/>
    </sheetView>
  </sheetViews>
  <sheetFormatPr defaultColWidth="8.875" defaultRowHeight="13.5"/>
  <cols>
    <col min="2" max="2" width="13.375" bestFit="1" customWidth="1"/>
    <col min="3" max="3" width="8.5" bestFit="1" customWidth="1"/>
    <col min="6" max="6" width="11" bestFit="1" customWidth="1"/>
    <col min="7" max="7" width="10.375" bestFit="1" customWidth="1"/>
    <col min="9" max="9" width="11.5" bestFit="1" customWidth="1"/>
    <col min="10" max="10" width="10.5" bestFit="1" customWidth="1"/>
    <col min="15" max="15" width="13" customWidth="1"/>
  </cols>
  <sheetData>
    <row r="2" spans="1:18">
      <c r="B2" s="2" t="s">
        <v>1</v>
      </c>
      <c r="C2" s="2" t="s">
        <v>38</v>
      </c>
      <c r="D2" s="2" t="s">
        <v>43</v>
      </c>
      <c r="E2" s="2" t="s">
        <v>114</v>
      </c>
      <c r="F2" s="2" t="s">
        <v>76</v>
      </c>
      <c r="G2" s="2" t="s">
        <v>116</v>
      </c>
      <c r="H2" s="2" t="s">
        <v>117</v>
      </c>
    </row>
    <row r="3" spans="1:18">
      <c r="A3" s="25"/>
      <c r="B3" s="25" t="s">
        <v>58</v>
      </c>
      <c r="C3" s="28">
        <f>已投部分年化收益率!Y13</f>
        <v>5.8900000000000001E-2</v>
      </c>
      <c r="D3" s="18">
        <f>12*0.0067</f>
        <v>8.0399999999999999E-2</v>
      </c>
      <c r="E3" s="54">
        <f>(D3-C3)/0.0081</f>
        <v>2.6543209876543208</v>
      </c>
      <c r="F3" t="s">
        <v>75</v>
      </c>
      <c r="G3" s="19">
        <f>C26+C16+C17+C18+C19</f>
        <v>0.31886923749999979</v>
      </c>
      <c r="H3" s="19">
        <f>D26+D16+D17+D18+D19</f>
        <v>0.30149999999999999</v>
      </c>
    </row>
    <row r="4" spans="1:18">
      <c r="A4" s="25"/>
      <c r="B4" s="2" t="s">
        <v>46</v>
      </c>
      <c r="C4" s="28">
        <f>已投部分年化收益率!Y14</f>
        <v>8.0543625000000004E-3</v>
      </c>
      <c r="D4" s="18">
        <f>9*0.0067</f>
        <v>6.0299999999999999E-2</v>
      </c>
      <c r="E4" s="50">
        <f t="shared" ref="E4:E22" si="0">(D4-C4)/0.0081</f>
        <v>6.4500787037037037</v>
      </c>
      <c r="F4" t="s">
        <v>74</v>
      </c>
      <c r="G4" s="19">
        <f>1-G3-G5</f>
        <v>0.65868450000000023</v>
      </c>
      <c r="H4" s="19">
        <f>1-H3-H5</f>
        <v>0.68510000000000004</v>
      </c>
    </row>
    <row r="5" spans="1:18">
      <c r="A5" s="25"/>
      <c r="B5" s="2" t="s">
        <v>42</v>
      </c>
      <c r="C5" s="19">
        <f>已投部分年化收益率!Y15</f>
        <v>3.9856999999999997E-2</v>
      </c>
      <c r="D5" s="18">
        <f>(1+5)*0.0067</f>
        <v>4.02E-2</v>
      </c>
      <c r="E5" s="50"/>
      <c r="F5" t="s">
        <v>73</v>
      </c>
      <c r="G5" s="19">
        <f>SUM(C23:C25)</f>
        <v>2.2446262500000001E-2</v>
      </c>
      <c r="H5" s="19">
        <f>SUM(D23:D25)</f>
        <v>1.34E-2</v>
      </c>
      <c r="M5" s="3"/>
    </row>
    <row r="6" spans="1:18">
      <c r="A6" s="25"/>
      <c r="B6" s="2" t="s">
        <v>18</v>
      </c>
      <c r="C6" s="28">
        <f>已投部分年化收益率!Y16</f>
        <v>0.2110085125</v>
      </c>
      <c r="D6" s="18">
        <f>(11+8+1+2)*0.0067</f>
        <v>0.1474</v>
      </c>
      <c r="E6" s="50"/>
      <c r="M6" s="3"/>
    </row>
    <row r="7" spans="1:18">
      <c r="A7" s="25"/>
      <c r="B7" s="2" t="s">
        <v>19</v>
      </c>
      <c r="C7" s="28">
        <f>已投部分年化收益率!Y17</f>
        <v>4.9623162499999998E-2</v>
      </c>
      <c r="D7" s="18">
        <v>0</v>
      </c>
      <c r="E7" s="50"/>
      <c r="M7" s="3"/>
    </row>
    <row r="8" spans="1:18">
      <c r="A8" s="25"/>
      <c r="B8" s="2" t="s">
        <v>41</v>
      </c>
      <c r="C8" s="19">
        <f>已投部分年化收益率!Y18</f>
        <v>1.6085612499999999E-2</v>
      </c>
      <c r="D8" s="18">
        <f>(1+2)*0.0067</f>
        <v>2.01E-2</v>
      </c>
      <c r="E8" s="50">
        <f t="shared" si="0"/>
        <v>0.49560339506172851</v>
      </c>
      <c r="M8" s="3"/>
    </row>
    <row r="9" spans="1:18">
      <c r="A9" s="25"/>
      <c r="B9" s="2" t="s">
        <v>68</v>
      </c>
      <c r="C9" s="28">
        <f>已投部分年化收益率!Y19</f>
        <v>4.5076224999999998E-2</v>
      </c>
      <c r="D9" s="18">
        <f>9*0.0067</f>
        <v>6.0299999999999999E-2</v>
      </c>
      <c r="E9" s="54">
        <f t="shared" si="0"/>
        <v>1.8794783950617286</v>
      </c>
      <c r="M9" s="3"/>
    </row>
    <row r="10" spans="1:18">
      <c r="A10" s="25"/>
      <c r="B10" s="25" t="s">
        <v>56</v>
      </c>
      <c r="C10" s="19">
        <f>已投部分年化收益率!Y22</f>
        <v>2.3985175000000001E-2</v>
      </c>
      <c r="D10" s="18">
        <f>3*0.0067</f>
        <v>2.01E-2</v>
      </c>
      <c r="E10" s="50"/>
      <c r="M10" s="3"/>
    </row>
    <row r="11" spans="1:18">
      <c r="A11" s="25"/>
      <c r="B11" s="25" t="s">
        <v>59</v>
      </c>
      <c r="C11" s="19">
        <f>已投部分年化收益率!Y34</f>
        <v>2.4E-2</v>
      </c>
      <c r="D11" s="18">
        <f>3*0.0067</f>
        <v>2.01E-2</v>
      </c>
      <c r="E11" s="50"/>
    </row>
    <row r="12" spans="1:18">
      <c r="A12" s="25"/>
      <c r="B12" s="25" t="s">
        <v>60</v>
      </c>
      <c r="C12" s="28">
        <f>已投部分年化收益率!Y21</f>
        <v>5.6750000000000002E-2</v>
      </c>
      <c r="D12" s="18">
        <f>9*0.0067</f>
        <v>6.0299999999999999E-2</v>
      </c>
      <c r="E12" s="54">
        <f t="shared" si="0"/>
        <v>0.43827160493827133</v>
      </c>
    </row>
    <row r="13" spans="1:18">
      <c r="A13" s="25"/>
      <c r="B13" s="25" t="s">
        <v>57</v>
      </c>
      <c r="C13" s="19">
        <f>已投部分年化收益率!Y25</f>
        <v>3.70254125E-2</v>
      </c>
      <c r="D13" s="18">
        <f>5*0.0067</f>
        <v>3.3500000000000002E-2</v>
      </c>
      <c r="E13" s="50"/>
      <c r="N13" s="4"/>
      <c r="O13" s="4"/>
      <c r="P13" s="4"/>
      <c r="Q13" s="13"/>
      <c r="R13" s="4"/>
    </row>
    <row r="14" spans="1:18">
      <c r="A14" s="25"/>
      <c r="B14" s="2" t="s">
        <v>37</v>
      </c>
      <c r="C14" s="19">
        <f>已投部分年化收益率!Y23</f>
        <v>5.2069037499999998E-2</v>
      </c>
      <c r="D14" s="18">
        <f>8*0.0067</f>
        <v>5.3600000000000002E-2</v>
      </c>
      <c r="E14" s="50"/>
    </row>
    <row r="15" spans="1:18">
      <c r="A15" s="25"/>
      <c r="B15" s="2" t="s">
        <v>35</v>
      </c>
      <c r="C15" s="19">
        <f>已投部分年化收益率!Y39</f>
        <v>2.4E-2</v>
      </c>
      <c r="D15" s="18">
        <f>3*0.0067</f>
        <v>2.01E-2</v>
      </c>
      <c r="E15" s="50"/>
    </row>
    <row r="16" spans="1:18">
      <c r="A16" s="25"/>
      <c r="B16" s="2" t="s">
        <v>33</v>
      </c>
      <c r="C16" s="19">
        <f>已投部分年化收益率!Y38</f>
        <v>2.3474862499999999E-2</v>
      </c>
      <c r="D16" s="18">
        <f>3*0.0067</f>
        <v>2.01E-2</v>
      </c>
      <c r="E16" s="50"/>
    </row>
    <row r="17" spans="1:28">
      <c r="A17" s="25"/>
      <c r="B17" s="2" t="s">
        <v>34</v>
      </c>
      <c r="C17" s="19">
        <f>已投部分年化收益率!Y37</f>
        <v>4.2190250000000004E-3</v>
      </c>
      <c r="D17" s="18">
        <f>3*0.0067</f>
        <v>2.01E-2</v>
      </c>
      <c r="E17" s="50"/>
    </row>
    <row r="18" spans="1:28">
      <c r="A18" s="25"/>
      <c r="B18" s="2" t="s">
        <v>69</v>
      </c>
      <c r="C18" s="19">
        <v>0</v>
      </c>
      <c r="D18" s="18">
        <f>2*0.0067</f>
        <v>1.34E-2</v>
      </c>
      <c r="E18" s="50"/>
    </row>
    <row r="19" spans="1:28">
      <c r="A19" s="25"/>
      <c r="B19" s="2" t="s">
        <v>70</v>
      </c>
      <c r="C19" s="19">
        <v>0</v>
      </c>
      <c r="D19" s="18">
        <f>1*0.0067</f>
        <v>6.7000000000000002E-3</v>
      </c>
      <c r="E19" s="50"/>
    </row>
    <row r="20" spans="1:28">
      <c r="A20" s="25"/>
      <c r="B20" s="2" t="s">
        <v>36</v>
      </c>
      <c r="C20" s="19">
        <f>已投部分年化收益率!Y35</f>
        <v>1.225E-2</v>
      </c>
      <c r="D20" s="18">
        <v>1.34E-2</v>
      </c>
      <c r="E20" s="50"/>
      <c r="O20" s="4"/>
      <c r="P20" s="4"/>
      <c r="Q20" s="4"/>
      <c r="R20" s="4"/>
    </row>
    <row r="21" spans="1:28">
      <c r="A21" s="25"/>
      <c r="B21" s="68" t="s">
        <v>200</v>
      </c>
      <c r="C21" s="19">
        <v>0</v>
      </c>
      <c r="D21" s="18">
        <f>1*0.0067</f>
        <v>6.7000000000000002E-3</v>
      </c>
      <c r="E21" s="61"/>
      <c r="O21" s="4"/>
      <c r="P21" s="4"/>
      <c r="Q21" s="4"/>
      <c r="R21" s="4"/>
    </row>
    <row r="22" spans="1:28">
      <c r="A22" s="25"/>
      <c r="B22" s="2" t="s">
        <v>71</v>
      </c>
      <c r="C22" s="28">
        <f>已投部分年化收益率!Y36</f>
        <v>0</v>
      </c>
      <c r="D22" s="18">
        <f>8*0.0067</f>
        <v>5.3600000000000002E-2</v>
      </c>
      <c r="E22" s="50">
        <f t="shared" si="0"/>
        <v>6.6172839506172849</v>
      </c>
      <c r="O22" s="4"/>
      <c r="P22" s="4"/>
      <c r="Q22" s="4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>
      <c r="B23" s="2" t="s">
        <v>39</v>
      </c>
      <c r="C23" s="19">
        <f>已投部分年化收益率!Y40</f>
        <v>8.0536124999999997E-3</v>
      </c>
      <c r="D23" s="18">
        <f>1*0.0067</f>
        <v>6.7000000000000002E-3</v>
      </c>
      <c r="E23" s="50"/>
    </row>
    <row r="24" spans="1:28">
      <c r="B24" s="2" t="s">
        <v>67</v>
      </c>
      <c r="C24" s="19">
        <f>已投部分年化收益率!Y41</f>
        <v>1.4392650000000002E-2</v>
      </c>
      <c r="D24" s="18">
        <v>0</v>
      </c>
      <c r="E24" s="50"/>
    </row>
    <row r="25" spans="1:28">
      <c r="B25" s="2" t="s">
        <v>72</v>
      </c>
      <c r="C25" s="19">
        <v>0</v>
      </c>
      <c r="D25" s="18">
        <f>1*0.0067</f>
        <v>6.7000000000000002E-3</v>
      </c>
      <c r="E25" s="50"/>
      <c r="K25" s="1"/>
      <c r="L25" s="4"/>
      <c r="M25" s="4"/>
    </row>
    <row r="26" spans="1:28">
      <c r="B26" s="25" t="s">
        <v>66</v>
      </c>
      <c r="C26" s="19">
        <f>已投部分年化收益率!Y42</f>
        <v>0.29117534999999983</v>
      </c>
      <c r="D26" s="18">
        <f>36*0.0067</f>
        <v>0.2412</v>
      </c>
      <c r="E26" s="50"/>
    </row>
    <row r="27" spans="1:28">
      <c r="F27" t="s">
        <v>102</v>
      </c>
      <c r="H27" t="s">
        <v>101</v>
      </c>
      <c r="I27" t="s">
        <v>103</v>
      </c>
      <c r="J27" t="s">
        <v>213</v>
      </c>
    </row>
    <row r="28" spans="1:28">
      <c r="F28" t="s">
        <v>77</v>
      </c>
      <c r="G28" s="19">
        <f>C3</f>
        <v>5.8900000000000001E-2</v>
      </c>
      <c r="H28" s="1">
        <f>已投部分年化收益率!W13</f>
        <v>10.981644135782176</v>
      </c>
      <c r="I28" s="1">
        <f>ETF计划成本计算!D5</f>
        <v>10.991614148316881</v>
      </c>
      <c r="J28" s="18">
        <f>已投部分年化收益率!S13/H28-1</f>
        <v>4.4033355679649056E-3</v>
      </c>
    </row>
    <row r="29" spans="1:28">
      <c r="F29" t="s">
        <v>84</v>
      </c>
      <c r="G29" s="19">
        <f>C5</f>
        <v>3.9856999999999997E-2</v>
      </c>
      <c r="H29" s="1">
        <f>已投部分年化收益率!W15</f>
        <v>11.53132941400186</v>
      </c>
      <c r="I29" s="1">
        <f>ETF计划成本计算!D53</f>
        <v>11.236321541155867</v>
      </c>
      <c r="J29" s="18">
        <f>已投部分年化收益率!S15/H29-1</f>
        <v>1.3759956055498179E-2</v>
      </c>
    </row>
    <row r="30" spans="1:28">
      <c r="F30" t="s">
        <v>78</v>
      </c>
      <c r="G30" s="19">
        <f>C6</f>
        <v>0.2110085125</v>
      </c>
      <c r="H30" s="55">
        <f>已投部分年化收益率!W16</f>
        <v>22.598910086325166</v>
      </c>
      <c r="I30" s="4">
        <f>ETF计划成本计算!D20</f>
        <v>23.411826985689665</v>
      </c>
      <c r="J30" s="18">
        <f>已投部分年化收益率!S16/H30-1</f>
        <v>-0.12385155193917141</v>
      </c>
    </row>
    <row r="31" spans="1:28">
      <c r="F31" t="s">
        <v>79</v>
      </c>
      <c r="G31" s="19">
        <f>C7</f>
        <v>4.9623162499999998E-2</v>
      </c>
      <c r="H31" s="1">
        <f>已投部分年化收益率!W17</f>
        <v>27.921186306144762</v>
      </c>
      <c r="I31" s="27" t="s">
        <v>115</v>
      </c>
      <c r="J31" s="18">
        <f>已投部分年化收益率!S17/H31-1</f>
        <v>-0.18592284186013652</v>
      </c>
    </row>
    <row r="32" spans="1:28">
      <c r="F32" t="s">
        <v>228</v>
      </c>
      <c r="G32" s="19">
        <f>C8</f>
        <v>1.6085612499999999E-2</v>
      </c>
      <c r="H32" s="1">
        <f>已投部分年化收益率!W18</f>
        <v>37.256205640613935</v>
      </c>
      <c r="I32" s="27"/>
      <c r="J32" s="18">
        <f>已投部分年化收益率!S18/H32-1</f>
        <v>-4.0428315624605138E-2</v>
      </c>
    </row>
    <row r="33" spans="6:10">
      <c r="F33" t="s">
        <v>80</v>
      </c>
      <c r="G33" s="19">
        <f>C9</f>
        <v>4.5076224999999998E-2</v>
      </c>
      <c r="H33" s="1">
        <f>已投部分年化收益率!W19</f>
        <v>29.393669147742237</v>
      </c>
      <c r="I33" s="1">
        <f>ETF计划成本计算!D30</f>
        <v>29.47452578388183</v>
      </c>
      <c r="J33" s="18">
        <f>已投部分年化收益率!S19/H33-1</f>
        <v>-2.1217805256209088E-2</v>
      </c>
    </row>
    <row r="34" spans="6:10">
      <c r="F34" t="s">
        <v>81</v>
      </c>
      <c r="G34" s="19">
        <f>C12</f>
        <v>5.6750000000000002E-2</v>
      </c>
      <c r="H34" s="1">
        <f>已投部分年化收益率!W21</f>
        <v>24.609610138201177</v>
      </c>
      <c r="I34" s="1">
        <f>ETF计划成本计算!D35</f>
        <v>23.992418522989134</v>
      </c>
      <c r="J34" s="18">
        <f>已投部分年化收益率!S21/H34-1</f>
        <v>-7.23136257830721E-2</v>
      </c>
    </row>
    <row r="35" spans="6:10">
      <c r="F35" t="s">
        <v>82</v>
      </c>
      <c r="G35" s="19">
        <f>C14</f>
        <v>5.2069037499999998E-2</v>
      </c>
      <c r="H35" s="56">
        <f>已投部分年化收益率!W23</f>
        <v>26.204178663494215</v>
      </c>
      <c r="I35" s="1">
        <f>ETF计划成本计算!D40</f>
        <v>27.315662472242781</v>
      </c>
      <c r="J35" s="18">
        <f>已投部分年化收益率!S24/H35-1</f>
        <v>-0.21081289112068624</v>
      </c>
    </row>
    <row r="36" spans="6:10">
      <c r="F36" t="s">
        <v>83</v>
      </c>
      <c r="G36" s="19">
        <f>C13</f>
        <v>3.70254125E-2</v>
      </c>
      <c r="H36" s="1">
        <f>已投部分年化收益率!W25</f>
        <v>29.659616752836897</v>
      </c>
      <c r="I36" s="1">
        <f>ETF计划成本计算!D58</f>
        <v>29.806109234234238</v>
      </c>
      <c r="J36" s="18">
        <f>已投部分年化收益率!S25/H36-1</f>
        <v>-0.18744735642294252</v>
      </c>
    </row>
    <row r="37" spans="6:10">
      <c r="F37" t="s">
        <v>225</v>
      </c>
      <c r="G37" s="19">
        <f>C11</f>
        <v>2.4E-2</v>
      </c>
      <c r="H37" s="1">
        <f>已投部分年化收益率!X34</f>
        <v>1.1519228839676054</v>
      </c>
      <c r="I37" s="1">
        <f>ETF计划成本计算!D63</f>
        <v>1.1584347452160826</v>
      </c>
      <c r="J37" s="18">
        <f>已投部分年化收益率!U34/H37-1</f>
        <v>2.4374128184421195E-2</v>
      </c>
    </row>
    <row r="38" spans="6:10">
      <c r="F38" t="s">
        <v>240</v>
      </c>
      <c r="G38" s="19">
        <f>C10</f>
        <v>2.3985175000000001E-2</v>
      </c>
      <c r="H38" s="1">
        <f>已投部分年化收益率!X22</f>
        <v>1.4215343285340694</v>
      </c>
      <c r="J38" s="18">
        <f>已投部分年化收益率!U22/资产配置表!H38-1</f>
        <v>-0.14177239654978846</v>
      </c>
    </row>
  </sheetData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8"/>
  <sheetViews>
    <sheetView tabSelected="1" zoomScaleNormal="100" workbookViewId="0">
      <selection activeCell="K11" sqref="K11"/>
    </sheetView>
  </sheetViews>
  <sheetFormatPr defaultRowHeight="13.5"/>
  <cols>
    <col min="1" max="1" width="9.25" bestFit="1" customWidth="1"/>
    <col min="9" max="9" width="10" customWidth="1"/>
  </cols>
  <sheetData>
    <row r="1" spans="1:17">
      <c r="C1">
        <v>3</v>
      </c>
      <c r="D1">
        <v>5</v>
      </c>
      <c r="E1">
        <v>7</v>
      </c>
      <c r="I1" s="79"/>
      <c r="J1" s="79"/>
      <c r="K1" s="79"/>
      <c r="O1" s="77" t="s">
        <v>231</v>
      </c>
      <c r="P1" s="77" t="s">
        <v>232</v>
      </c>
      <c r="Q1" s="77" t="s">
        <v>233</v>
      </c>
    </row>
    <row r="2" spans="1:17">
      <c r="A2" t="s">
        <v>230</v>
      </c>
      <c r="B2" s="1">
        <f>Q2*0.3</f>
        <v>6.5190000000000001</v>
      </c>
      <c r="C2" s="21">
        <f>$B2^(1/$C$1)/(0.97*$P$2^(1/$C$1))</f>
        <v>0.86642864893365878</v>
      </c>
      <c r="D2" s="21">
        <f>$B2^(1/$D$1)/(0.97*$P$2^(1/$D$1))</f>
        <v>0.92881878170442045</v>
      </c>
      <c r="E2" s="21">
        <f>$B2^(1/$E$1)/(0.97*$P$2^(1/$E$1))</f>
        <v>0.95691435110599454</v>
      </c>
      <c r="I2" s="77" t="s">
        <v>242</v>
      </c>
      <c r="J2" s="77" t="s">
        <v>243</v>
      </c>
      <c r="K2" s="77" t="s">
        <v>244</v>
      </c>
      <c r="N2" t="s">
        <v>217</v>
      </c>
      <c r="O2" s="18">
        <f>资产配置表!G28</f>
        <v>5.8900000000000001E-2</v>
      </c>
      <c r="P2" s="1">
        <f>资产配置表!H28</f>
        <v>10.981644135782176</v>
      </c>
      <c r="Q2">
        <v>21.73</v>
      </c>
    </row>
    <row r="3" spans="1:17">
      <c r="A3" s="19">
        <f>O2</f>
        <v>5.8900000000000001E-2</v>
      </c>
      <c r="B3" s="1">
        <f>Q2*0.5</f>
        <v>10.865</v>
      </c>
      <c r="C3" s="21">
        <f t="shared" ref="C3:C4" si="0">$B3^(1/$C$1)/(0.97*$P$2^(1/$C$1))</f>
        <v>1.0272647534035009</v>
      </c>
      <c r="D3" s="21">
        <f t="shared" ref="D3:D4" si="1">$B3^(1/$D$1)/(0.97*$P$2^(1/$D$1))</f>
        <v>1.0287284215926968</v>
      </c>
      <c r="E3" s="21">
        <f t="shared" ref="E3:E4" si="2">$B3^(1/$E$1)/(0.97*$P$2^(1/$E$1))</f>
        <v>1.0293563461939488</v>
      </c>
      <c r="G3" t="s">
        <v>236</v>
      </c>
      <c r="H3" s="80" t="s">
        <v>237</v>
      </c>
      <c r="I3" s="18">
        <f t="shared" ref="I3:K5" si="3">C2*$A$3+C6*$A$7+C10*$A$11+C14*$A$15+C18*$A$19+C22*$A$23+C26*$A$27+C30*$A$31+C34*$A$35+C38*$A$39+C42*$A$43+C46*$A$47-1</f>
        <v>1.8928555534868163E-2</v>
      </c>
      <c r="J3" s="18">
        <f t="shared" si="3"/>
        <v>2.4266782338408177E-2</v>
      </c>
      <c r="K3" s="18">
        <f t="shared" si="3"/>
        <v>2.6900376255785119E-2</v>
      </c>
      <c r="N3" t="s">
        <v>218</v>
      </c>
      <c r="O3" s="18">
        <f>资产配置表!G29</f>
        <v>3.9856999999999997E-2</v>
      </c>
      <c r="P3" s="1">
        <f>资产配置表!H29</f>
        <v>11.53132941400186</v>
      </c>
      <c r="Q3">
        <v>19</v>
      </c>
    </row>
    <row r="4" spans="1:17">
      <c r="B4" s="1">
        <f>Q2*0.7</f>
        <v>15.210999999999999</v>
      </c>
      <c r="C4" s="21">
        <f t="shared" si="0"/>
        <v>1.149189720222469</v>
      </c>
      <c r="D4" s="21">
        <f t="shared" si="1"/>
        <v>1.1003385935388212</v>
      </c>
      <c r="E4" s="21">
        <f t="shared" si="2"/>
        <v>1.0800433321287353</v>
      </c>
      <c r="H4" s="80" t="s">
        <v>238</v>
      </c>
      <c r="I4" s="18">
        <f t="shared" si="3"/>
        <v>0.13362702421696326</v>
      </c>
      <c r="J4" s="18">
        <f t="shared" si="3"/>
        <v>9.1304507392488299E-2</v>
      </c>
      <c r="K4" s="18">
        <f t="shared" si="3"/>
        <v>7.4279994805443117E-2</v>
      </c>
      <c r="N4" t="s">
        <v>219</v>
      </c>
      <c r="O4" s="18">
        <f>资产配置表!G30</f>
        <v>0.2110085125</v>
      </c>
      <c r="P4" s="1">
        <f>资产配置表!H30</f>
        <v>22.598910086325166</v>
      </c>
      <c r="Q4">
        <v>83.24</v>
      </c>
    </row>
    <row r="5" spans="1:17">
      <c r="B5" s="1"/>
      <c r="H5" s="77" t="s">
        <v>239</v>
      </c>
      <c r="I5" s="18">
        <f t="shared" si="3"/>
        <v>0.22057645036943008</v>
      </c>
      <c r="J5" s="18">
        <f t="shared" si="3"/>
        <v>0.13935375492623914</v>
      </c>
      <c r="K5" s="18">
        <f t="shared" si="3"/>
        <v>0.10743107045025813</v>
      </c>
      <c r="N5" t="s">
        <v>220</v>
      </c>
      <c r="O5" s="18">
        <f>资产配置表!G31</f>
        <v>4.9623162499999998E-2</v>
      </c>
      <c r="P5" s="1">
        <f>资产配置表!H31</f>
        <v>27.921186306144762</v>
      </c>
      <c r="Q5">
        <v>144.82</v>
      </c>
    </row>
    <row r="6" spans="1:17">
      <c r="A6" t="s">
        <v>84</v>
      </c>
      <c r="B6" s="1">
        <f>Q3*0.3</f>
        <v>5.7</v>
      </c>
      <c r="C6" s="21">
        <f>$B6^(1/$C$1)/(0.97*$P$3^(1/$C$1))</f>
        <v>0.81512977638368322</v>
      </c>
      <c r="D6" s="21">
        <f>$B6^(1/$D$1)/(0.97*$P$3^(1/$D$1))</f>
        <v>0.89542117647334241</v>
      </c>
      <c r="E6" s="21">
        <f>$B6^(1/$E$1)/(0.97*$P$3^(1/$E$1))</f>
        <v>0.93220909092128401</v>
      </c>
      <c r="N6" t="s">
        <v>179</v>
      </c>
      <c r="O6" s="18">
        <f>资产配置表!G32</f>
        <v>1.6085612499999999E-2</v>
      </c>
      <c r="P6" s="1">
        <f>资产配置表!H32</f>
        <v>37.256205640613935</v>
      </c>
      <c r="Q6">
        <v>137.86000000000001</v>
      </c>
    </row>
    <row r="7" spans="1:17">
      <c r="A7" s="19">
        <f>O3</f>
        <v>3.9856999999999997E-2</v>
      </c>
      <c r="B7" s="1">
        <f>Q3*0.5</f>
        <v>9.5</v>
      </c>
      <c r="C7" s="21">
        <f>$B7^(1/$C$1)/(0.97*$P$3^(1/$C$1))</f>
        <v>0.96644321463653504</v>
      </c>
      <c r="D7" s="21">
        <f>$B7^(1/$D$1)/(0.97*$P$3^(1/$D$1))</f>
        <v>0.99173835809366162</v>
      </c>
      <c r="E7" s="21">
        <f>$B7^(1/$E$1)/(0.97*$P$3^(1/$E$1))</f>
        <v>1.0027808054194667</v>
      </c>
      <c r="N7" t="s">
        <v>221</v>
      </c>
      <c r="O7" s="18">
        <f>资产配置表!G33</f>
        <v>4.5076224999999998E-2</v>
      </c>
      <c r="P7" s="1">
        <f>资产配置表!H33</f>
        <v>29.393669147742237</v>
      </c>
      <c r="Q7">
        <v>74.42</v>
      </c>
    </row>
    <row r="8" spans="1:17">
      <c r="B8" s="1">
        <f>Q3*0.7</f>
        <v>13.299999999999999</v>
      </c>
      <c r="C8" s="21">
        <f>$B8^(1/$C$1)/(0.97*$P$3^(1/$C$1))</f>
        <v>1.0811493373634895</v>
      </c>
      <c r="D8" s="21">
        <f>$B8^(1/$D$1)/(0.97*$P$3^(1/$D$1))</f>
        <v>1.0607736378215242</v>
      </c>
      <c r="E8" s="21">
        <f>$B8^(1/$E$1)/(0.97*$P$3^(1/$E$1))</f>
        <v>1.0521591735306723</v>
      </c>
      <c r="N8" t="s">
        <v>222</v>
      </c>
      <c r="O8" s="18">
        <f>资产配置表!G34</f>
        <v>5.6750000000000002E-2</v>
      </c>
      <c r="P8" s="1">
        <f>资产配置表!H34</f>
        <v>24.609610138201177</v>
      </c>
      <c r="Q8">
        <v>52.47</v>
      </c>
    </row>
    <row r="9" spans="1:17">
      <c r="B9" s="1"/>
      <c r="N9" t="s">
        <v>223</v>
      </c>
      <c r="O9" s="18">
        <f>资产配置表!G35</f>
        <v>5.2069037499999998E-2</v>
      </c>
      <c r="P9" s="1">
        <f>资产配置表!H35</f>
        <v>26.204178663494215</v>
      </c>
      <c r="Q9">
        <v>71.13</v>
      </c>
    </row>
    <row r="10" spans="1:17">
      <c r="A10" t="s">
        <v>78</v>
      </c>
      <c r="B10" s="1">
        <f>Q4*0.3</f>
        <v>24.971999999999998</v>
      </c>
      <c r="C10" s="21">
        <f>$B10^(1/$C$1)/(0.97*$P$4^(1/$C$1))</f>
        <v>1.065819208790016</v>
      </c>
      <c r="D10" s="21">
        <f>$B10^(1/$D$1)/(0.97*$P$4^(1/$D$1))</f>
        <v>1.0517231467113837</v>
      </c>
      <c r="E10" s="21">
        <f>$B10^(1/$E$1)/(0.97*$P$4^(1/$E$1))</f>
        <v>1.0457391916865235</v>
      </c>
      <c r="N10" t="s">
        <v>224</v>
      </c>
      <c r="O10" s="18">
        <f>资产配置表!G36</f>
        <v>3.70254125E-2</v>
      </c>
      <c r="P10" s="1">
        <f>资产配置表!H36</f>
        <v>29.659616752836897</v>
      </c>
      <c r="Q10">
        <v>121.16</v>
      </c>
    </row>
    <row r="11" spans="1:17">
      <c r="A11" s="19">
        <f>O4</f>
        <v>0.2110085125</v>
      </c>
      <c r="B11" s="1">
        <f>Q4*0.5</f>
        <v>41.62</v>
      </c>
      <c r="C11" s="21">
        <f>$B11^(1/$C$1)/(0.97*$P$4^(1/$C$1))</f>
        <v>1.2636684025140352</v>
      </c>
      <c r="D11" s="21">
        <f>$B11^(1/$D$1)/(0.97*$P$4^(1/$D$1))</f>
        <v>1.1648531597127119</v>
      </c>
      <c r="E11" s="21">
        <f>$B11^(1/$E$1)/(0.97*$P$4^(1/$E$1))</f>
        <v>1.1249055593973627</v>
      </c>
      <c r="N11" t="s">
        <v>225</v>
      </c>
      <c r="O11" s="18">
        <f>资产配置表!G37</f>
        <v>2.4E-2</v>
      </c>
      <c r="P11" s="1">
        <f>资产配置表!H37</f>
        <v>1.1519228839676054</v>
      </c>
      <c r="Q11">
        <v>3.5</v>
      </c>
    </row>
    <row r="12" spans="1:17">
      <c r="B12" s="1">
        <f>Q4*0.7</f>
        <v>58.267999999999994</v>
      </c>
      <c r="C12" s="21">
        <f>$B12^(1/$C$1)/(0.97*$P$4^(1/$C$1))</f>
        <v>1.4136518683501147</v>
      </c>
      <c r="D12" s="21">
        <f>$B12^(1/$D$1)/(0.97*$P$4^(1/$D$1))</f>
        <v>1.2459390258248475</v>
      </c>
      <c r="E12" s="21">
        <f>$B12^(1/$E$1)/(0.97*$P$4^(1/$E$1))</f>
        <v>1.1802975259189297</v>
      </c>
      <c r="N12" t="s">
        <v>241</v>
      </c>
      <c r="O12" s="18">
        <f>资产配置表!G38</f>
        <v>2.3985175000000001E-2</v>
      </c>
      <c r="P12" s="1">
        <f>资产配置表!H38</f>
        <v>1.4215343285340694</v>
      </c>
      <c r="Q12">
        <v>5.04</v>
      </c>
    </row>
    <row r="13" spans="1:17">
      <c r="B13" s="1"/>
      <c r="I13" s="21"/>
      <c r="J13" s="21"/>
      <c r="K13" s="21"/>
      <c r="N13" t="s">
        <v>235</v>
      </c>
      <c r="O13" s="19">
        <f>1-SUM(O2:O12)</f>
        <v>0.38561986250000002</v>
      </c>
    </row>
    <row r="14" spans="1:17">
      <c r="A14" t="s">
        <v>79</v>
      </c>
      <c r="B14" s="1">
        <f>Q5*0.3</f>
        <v>43.445999999999998</v>
      </c>
      <c r="C14" s="21">
        <f>$B14^(1/$C$1)/(0.97*$P$5^(1/$C$1))</f>
        <v>1.1946304386659881</v>
      </c>
      <c r="D14" s="21">
        <f>$B14^(1/$D$1)/(0.97*$P$5^(1/$D$1))</f>
        <v>1.1262413073859305</v>
      </c>
      <c r="E14" s="21">
        <f>$B14^(1/$E$1)/(0.97*$P$5^(1/$E$1))</f>
        <v>1.0981435449537611</v>
      </c>
      <c r="I14" s="21"/>
      <c r="J14" s="21"/>
      <c r="K14" s="21"/>
    </row>
    <row r="15" spans="1:17">
      <c r="A15" s="19">
        <f>O5</f>
        <v>4.9623162499999998E-2</v>
      </c>
      <c r="B15" s="1">
        <f>Q5*0.5</f>
        <v>72.41</v>
      </c>
      <c r="C15" s="21">
        <f>$B15^(1/$C$1)/(0.97*$P$5^(1/$C$1))</f>
        <v>1.4163910028770268</v>
      </c>
      <c r="D15" s="21">
        <f>$B15^(1/$D$1)/(0.97*$P$5^(1/$D$1))</f>
        <v>1.2473869664366086</v>
      </c>
      <c r="E15" s="21">
        <f>$B15^(1/$E$1)/(0.97*$P$5^(1/$E$1))</f>
        <v>1.1812771181909727</v>
      </c>
      <c r="I15" s="21"/>
      <c r="J15" s="21"/>
      <c r="K15" s="21"/>
    </row>
    <row r="16" spans="1:17">
      <c r="B16" s="1">
        <f>Q5*0.7</f>
        <v>101.374</v>
      </c>
      <c r="C16" s="21">
        <f>$B16^(1/$C$1)/(0.97*$P$5^(1/$C$1))</f>
        <v>1.5845009525821099</v>
      </c>
      <c r="D16" s="21">
        <f>$B16^(1/$D$1)/(0.97*$P$5^(1/$D$1))</f>
        <v>1.3342180418448146</v>
      </c>
      <c r="E16" s="21">
        <f>$B16^(1/$E$1)/(0.97*$P$5^(1/$E$1))</f>
        <v>1.2394449012878768</v>
      </c>
      <c r="N16" t="s">
        <v>229</v>
      </c>
    </row>
    <row r="17" spans="1:5">
      <c r="B17" s="1"/>
    </row>
    <row r="18" spans="1:5">
      <c r="A18" t="s">
        <v>234</v>
      </c>
      <c r="B18" s="1">
        <f>Q6*0.3</f>
        <v>41.358000000000004</v>
      </c>
      <c r="C18" s="21">
        <f>$B18^(1/$C$1)/(0.97*$P$6^(1/$C$1))</f>
        <v>1.0674525228883014</v>
      </c>
      <c r="D18" s="21">
        <f>$B18^(1/$D$1)/(0.97*$P$6^(1/$D$1))</f>
        <v>1.0526898780960914</v>
      </c>
      <c r="E18" s="21">
        <f>$B18^(1/$E$1)/(0.97*$P$6^(1/$E$1))</f>
        <v>1.0464256951383246</v>
      </c>
    </row>
    <row r="19" spans="1:5">
      <c r="A19" s="19">
        <f>O6</f>
        <v>1.6085612499999999E-2</v>
      </c>
      <c r="B19" s="1">
        <f>Q6*0.5</f>
        <v>68.930000000000007</v>
      </c>
      <c r="C19" s="21">
        <f>$B19^(1/$C$1)/(0.97*$P$6^(1/$C$1))</f>
        <v>1.2656049105074747</v>
      </c>
      <c r="D19" s="21">
        <f>$B19^(1/$D$1)/(0.97*$P$6^(1/$D$1))</f>
        <v>1.1659238788573763</v>
      </c>
      <c r="E19" s="21">
        <f>$B19^(1/$E$1)/(0.97*$P$6^(1/$E$1))</f>
        <v>1.1256440337278801</v>
      </c>
    </row>
    <row r="20" spans="1:5">
      <c r="B20" s="1">
        <f>Q6*0.7</f>
        <v>96.50200000000001</v>
      </c>
      <c r="C20" s="21">
        <f>$B20^(1/$C$1)/(0.97*$P$6^(1/$C$1))</f>
        <v>1.4158182184286279</v>
      </c>
      <c r="D20" s="21">
        <f>$B20^(1/$D$1)/(0.97*$P$6^(1/$D$1))</f>
        <v>1.2470842781314677</v>
      </c>
      <c r="E20" s="21">
        <f>$B20^(1/$E$1)/(0.97*$P$6^(1/$E$1))</f>
        <v>1.1810723637868579</v>
      </c>
    </row>
    <row r="21" spans="1:5">
      <c r="B21" s="1"/>
    </row>
    <row r="22" spans="1:5">
      <c r="A22" t="s">
        <v>80</v>
      </c>
      <c r="B22" s="1">
        <f>Q7*0.3</f>
        <v>22.326000000000001</v>
      </c>
      <c r="C22" s="21">
        <f>$B22^(1/$C$1)/(0.97*$P$7^(1/$C$1))</f>
        <v>0.94061948736904322</v>
      </c>
      <c r="D22" s="21">
        <f>$B22^(1/$D$1)/(0.97*$P$7^(1/$D$1))</f>
        <v>0.97575253784655136</v>
      </c>
      <c r="E22" s="21">
        <f>$B22^(1/$E$1)/(0.97*$P$7^(1/$E$1))</f>
        <v>0.99120845293442417</v>
      </c>
    </row>
    <row r="23" spans="1:5">
      <c r="A23" s="19">
        <f>O7</f>
        <v>4.5076224999999998E-2</v>
      </c>
      <c r="B23" s="1">
        <f>Q7*0.5</f>
        <v>37.21</v>
      </c>
      <c r="C23" s="21">
        <f>$B23^(1/$C$1)/(0.97*$P$7^(1/$C$1))</f>
        <v>1.1152277188986084</v>
      </c>
      <c r="D23" s="21">
        <f>$B23^(1/$D$1)/(0.97*$P$7^(1/$D$1))</f>
        <v>1.0807106702579434</v>
      </c>
      <c r="E23" s="21">
        <f>$B23^(1/$E$1)/(0.97*$P$7^(1/$E$1))</f>
        <v>1.0662466397853398</v>
      </c>
    </row>
    <row r="24" spans="1:5">
      <c r="B24" s="1">
        <f>Q7*0.7</f>
        <v>52.094000000000001</v>
      </c>
      <c r="C24" s="21">
        <f>$B24^(1/$C$1)/(0.97*$P$7^(1/$C$1))</f>
        <v>1.2475929170345337</v>
      </c>
      <c r="D24" s="21">
        <f>$B24^(1/$D$1)/(0.97*$P$7^(1/$D$1))</f>
        <v>1.1559393460646898</v>
      </c>
      <c r="E24" s="21">
        <f>$B24^(1/$E$1)/(0.97*$P$7^(1/$E$1))</f>
        <v>1.1187501567973488</v>
      </c>
    </row>
    <row r="25" spans="1:5">
      <c r="B25" s="1"/>
    </row>
    <row r="26" spans="1:5">
      <c r="A26" t="s">
        <v>81</v>
      </c>
      <c r="B26" s="1">
        <f>Q8*0.3</f>
        <v>15.741</v>
      </c>
      <c r="C26" s="21">
        <f>$B26^(1/$C$1)/(0.97*$P$8^(1/$C$1))</f>
        <v>0.88825459090038328</v>
      </c>
      <c r="D26" s="21">
        <f>$B26^(1/$D$1)/(0.97*$P$8^(1/$D$1))</f>
        <v>0.94278742835879081</v>
      </c>
      <c r="E26" s="21">
        <f>$B26^(1/$E$1)/(0.97*$P$8^(1/$E$1))</f>
        <v>0.96717182184815531</v>
      </c>
    </row>
    <row r="27" spans="1:5">
      <c r="A27" s="19">
        <f>O8</f>
        <v>5.6750000000000002E-2</v>
      </c>
      <c r="B27" s="1">
        <f>Q8*0.5</f>
        <v>26.234999999999999</v>
      </c>
      <c r="C27" s="21">
        <f>$B27^(1/$C$1)/(0.97*$P$8^(1/$C$1))</f>
        <v>1.0531422690187111</v>
      </c>
      <c r="D27" s="21">
        <f>$B27^(1/$D$1)/(0.97*$P$8^(1/$D$1))</f>
        <v>1.0441996244878051</v>
      </c>
      <c r="E27" s="21">
        <f>$B27^(1/$E$1)/(0.97*$P$8^(1/$E$1))</f>
        <v>1.0403903458326187</v>
      </c>
    </row>
    <row r="28" spans="1:5">
      <c r="B28" s="1">
        <f>Q8*0.7</f>
        <v>36.728999999999999</v>
      </c>
      <c r="C28" s="21">
        <f>$B28^(1/$C$1)/(0.97*$P$8^(1/$C$1))</f>
        <v>1.1781386107897438</v>
      </c>
      <c r="D28" s="21">
        <f>$B28^(1/$D$1)/(0.97*$P$8^(1/$D$1))</f>
        <v>1.1168867526803772</v>
      </c>
      <c r="E28" s="21">
        <f>$B28^(1/$E$1)/(0.97*$P$8^(1/$E$1))</f>
        <v>1.0916206617682918</v>
      </c>
    </row>
    <row r="30" spans="1:5">
      <c r="A30" t="s">
        <v>223</v>
      </c>
      <c r="B30" s="1">
        <f>Q9*0.3</f>
        <v>21.338999999999999</v>
      </c>
      <c r="C30" s="21">
        <f>$B30^(1/$C$1)/(0.97*$P$9^(1/$C$1))</f>
        <v>0.96271137418974695</v>
      </c>
      <c r="D30" s="21">
        <f>$B30^(1/$D$1)/(0.97*$P$9^(1/$D$1))</f>
        <v>0.9894388710765557</v>
      </c>
      <c r="E30" s="21">
        <f>$B30^(1/$E$1)/(0.97*$P$9^(1/$E$1))</f>
        <v>1.0011194758300455</v>
      </c>
    </row>
    <row r="31" spans="1:5">
      <c r="A31" s="19">
        <f>O9</f>
        <v>5.2069037499999998E-2</v>
      </c>
      <c r="B31" s="1">
        <f>Q9*0.5</f>
        <v>35.564999999999998</v>
      </c>
      <c r="C31" s="21">
        <f>$B31^(1/$C$1)/(0.97*$P$9^(1/$C$1))</f>
        <v>1.1414205470039795</v>
      </c>
      <c r="D31" s="21">
        <f>$B31^(1/$D$1)/(0.97*$P$9^(1/$D$1))</f>
        <v>1.0958691923059771</v>
      </c>
      <c r="E31" s="21">
        <f>$B31^(1/$E$1)/(0.97*$P$9^(1/$E$1))</f>
        <v>1.0769079641798269</v>
      </c>
    </row>
    <row r="32" spans="1:5">
      <c r="B32" s="1">
        <f>Q9*0.7</f>
        <v>49.790999999999997</v>
      </c>
      <c r="C32" s="21">
        <f>$B32^(1/$C$1)/(0.97*$P$9^(1/$C$1))</f>
        <v>1.276894544197851</v>
      </c>
      <c r="D32" s="21">
        <f>$B32^(1/$D$1)/(0.97*$P$9^(1/$D$1))</f>
        <v>1.1721530585279238</v>
      </c>
      <c r="E32" s="21">
        <f>$B32^(1/$E$1)/(0.97*$P$9^(1/$E$1))</f>
        <v>1.1299364601280688</v>
      </c>
    </row>
    <row r="34" spans="1:5">
      <c r="A34" t="s">
        <v>224</v>
      </c>
      <c r="B34" s="1">
        <f>Q10*0.3</f>
        <v>36.347999999999999</v>
      </c>
      <c r="C34" s="21">
        <f>$B34^(1/$C$1)/(0.97*$P$10^(1/$C$1))</f>
        <v>1.103231348431398</v>
      </c>
      <c r="D34" s="21">
        <f>$B34^(1/$D$1)/(0.97*$P$10^(1/$D$1))</f>
        <v>1.0737205436611037</v>
      </c>
      <c r="E34" s="21">
        <f>$B34^(1/$E$1)/(0.97*$P$10^(1/$E$1))</f>
        <v>1.0613159524364457</v>
      </c>
    </row>
    <row r="35" spans="1:5">
      <c r="A35" s="19">
        <f>O10</f>
        <v>3.70254125E-2</v>
      </c>
      <c r="B35" s="1">
        <f>Q10*0.5</f>
        <v>60.58</v>
      </c>
      <c r="C35" s="21">
        <f>$B35^(1/$C$1)/(0.97*$P$10^(1/$C$1))</f>
        <v>1.3080253988463946</v>
      </c>
      <c r="D35" s="21">
        <f>$B35^(1/$D$1)/(0.97*$P$10^(1/$D$1))</f>
        <v>1.1892167362132946</v>
      </c>
      <c r="E35" s="21">
        <f>$B35^(1/$E$1)/(0.97*$P$10^(1/$E$1))</f>
        <v>1.1416615391906901</v>
      </c>
    </row>
    <row r="36" spans="1:5">
      <c r="B36" s="1">
        <f>Q10*0.7</f>
        <v>84.811999999999998</v>
      </c>
      <c r="C36" s="21">
        <f>$B36^(1/$C$1)/(0.97*$P$10^(1/$C$1))</f>
        <v>1.46327354965107</v>
      </c>
      <c r="D36" s="21">
        <f>$B36^(1/$D$1)/(0.97*$P$10^(1/$D$1))</f>
        <v>1.2719985600396422</v>
      </c>
      <c r="E36" s="21">
        <f>$B36^(1/$E$1)/(0.97*$P$10^(1/$E$1))</f>
        <v>1.1978785942399066</v>
      </c>
    </row>
    <row r="38" spans="1:5">
      <c r="A38" t="s">
        <v>225</v>
      </c>
      <c r="B38" s="1">
        <f>Q11*0.3</f>
        <v>1.05</v>
      </c>
      <c r="C38" s="21">
        <f>$B38^(1/$C$1)/(0.97*$P$11^(1/$C$1))</f>
        <v>0.99957847806229516</v>
      </c>
      <c r="D38" s="21">
        <f>$B38^(1/$D$1)/(0.97*$P$11^(1/$D$1))</f>
        <v>1.0120021713968703</v>
      </c>
      <c r="E38" s="21">
        <f>$B38^(1/$E$1)/(0.97*$P$11^(1/$E$1))</f>
        <v>1.0173737693947289</v>
      </c>
    </row>
    <row r="39" spans="1:5">
      <c r="A39" s="19">
        <f>O11</f>
        <v>2.4E-2</v>
      </c>
      <c r="B39" s="1">
        <f>Q11*0.5</f>
        <v>1.75</v>
      </c>
      <c r="C39" s="21">
        <f>$B39^(1/$C$1)/(0.97*$P$11^(1/$C$1))</f>
        <v>1.1851313319773815</v>
      </c>
      <c r="D39" s="21">
        <f>$B39^(1/$D$1)/(0.97*$P$11^(1/$D$1))</f>
        <v>1.1208595443333609</v>
      </c>
      <c r="E39" s="21">
        <f>$B39^(1/$E$1)/(0.97*$P$11^(1/$E$1))</f>
        <v>1.0943927685558597</v>
      </c>
    </row>
    <row r="40" spans="1:5">
      <c r="B40" s="1">
        <f>Q11*0.7</f>
        <v>2.4499999999999997</v>
      </c>
      <c r="C40" s="21">
        <f>$B40^(1/$C$1)/(0.97*$P$11^(1/$C$1))</f>
        <v>1.3257933159972934</v>
      </c>
      <c r="D40" s="21">
        <f>$B40^(1/$D$1)/(0.97*$P$11^(1/$D$1))</f>
        <v>1.1988829983494356</v>
      </c>
      <c r="E40" s="21">
        <f>$B40^(1/$E$1)/(0.97*$P$11^(1/$E$1))</f>
        <v>1.1482822414017106</v>
      </c>
    </row>
    <row r="42" spans="1:5">
      <c r="A42" t="s">
        <v>225</v>
      </c>
      <c r="B42" s="1">
        <f>Q12*0.3</f>
        <v>1.512</v>
      </c>
      <c r="C42" s="21">
        <f>$B42^(1/$C$1)/(0.97*$P$12^(1/$C$1))</f>
        <v>1.0523488855868701</v>
      </c>
      <c r="D42" s="21">
        <f>$B42^(1/$D$1)/(0.97*$P$12^(1/$D$1))</f>
        <v>1.0437275654475364</v>
      </c>
      <c r="E42" s="21">
        <f>$B42^(1/$E$1)/(0.97*$P$12^(1/$E$1))</f>
        <v>1.0400543691662372</v>
      </c>
    </row>
    <row r="43" spans="1:5">
      <c r="A43" s="19">
        <f>O12</f>
        <v>2.3985175000000001E-2</v>
      </c>
      <c r="B43" s="1">
        <f>Q12*0.5</f>
        <v>2.52</v>
      </c>
      <c r="C43" s="21">
        <f>$B43^(1/$C$1)/(0.97*$P$12^(1/$C$1))</f>
        <v>1.2476975683771727</v>
      </c>
      <c r="D43" s="21">
        <f>$B43^(1/$D$1)/(0.97*$P$12^(1/$D$1))</f>
        <v>1.155997523010168</v>
      </c>
      <c r="E43" s="21">
        <f>$B43^(1/$E$1)/(0.97*$P$12^(1/$E$1))</f>
        <v>1.1187903745519483</v>
      </c>
    </row>
    <row r="44" spans="1:5">
      <c r="B44" s="1">
        <f>Q12*0.7</f>
        <v>3.5279999999999996</v>
      </c>
      <c r="C44" s="21">
        <f>$B44^(1/$C$1)/(0.97*$P$12^(1/$C$1))</f>
        <v>1.3957854728053904</v>
      </c>
      <c r="D44" s="21">
        <f>$B44^(1/$D$1)/(0.97*$P$12^(1/$D$1))</f>
        <v>1.2364669449241548</v>
      </c>
      <c r="E44" s="21">
        <f>$B44^(1/$E$1)/(0.97*$P$12^(1/$E$1))</f>
        <v>1.173881220582643</v>
      </c>
    </row>
    <row r="45" spans="1:5">
      <c r="B45" s="1"/>
      <c r="C45" s="21"/>
      <c r="D45" s="21"/>
      <c r="E45" s="21"/>
    </row>
    <row r="46" spans="1:5">
      <c r="A46" t="s">
        <v>235</v>
      </c>
      <c r="B46">
        <v>1.04</v>
      </c>
      <c r="C46">
        <v>1.04</v>
      </c>
      <c r="D46">
        <v>1.04</v>
      </c>
      <c r="E46">
        <v>1.04</v>
      </c>
    </row>
    <row r="47" spans="1:5">
      <c r="A47" s="19">
        <f>O13</f>
        <v>0.38561986250000002</v>
      </c>
      <c r="B47">
        <v>1.04</v>
      </c>
      <c r="C47">
        <v>1.04</v>
      </c>
      <c r="D47">
        <v>1.04</v>
      </c>
      <c r="E47">
        <v>1.04</v>
      </c>
    </row>
    <row r="48" spans="1:5">
      <c r="B48">
        <v>1.04</v>
      </c>
      <c r="C48">
        <v>1.04</v>
      </c>
      <c r="D48">
        <v>1.04</v>
      </c>
      <c r="E48">
        <v>1.04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已投部分年化收益率</vt:lpstr>
      <vt:lpstr>ETF计划成本计算</vt:lpstr>
      <vt:lpstr>资产配置表</vt:lpstr>
      <vt:lpstr>压力测试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lishuyun</dc:creator>
  <cp:lastModifiedBy>lishuyun</cp:lastModifiedBy>
  <dcterms:created xsi:type="dcterms:W3CDTF">2018-05-19T08:29:27Z</dcterms:created>
  <dcterms:modified xsi:type="dcterms:W3CDTF">2018-09-29T00:25:49Z</dcterms:modified>
</cp:coreProperties>
</file>