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 activeTab="3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8" i="7" l="1"/>
  <c r="R6" i="1"/>
  <c r="X34" i="1"/>
  <c r="R77" i="1"/>
  <c r="S77" i="1"/>
  <c r="T14" i="1"/>
  <c r="H60" i="1"/>
  <c r="J60" i="1"/>
  <c r="X14" i="1"/>
  <c r="R67" i="1"/>
  <c r="S67" i="1"/>
  <c r="T15" i="1"/>
  <c r="H47" i="1"/>
  <c r="J47" i="1"/>
  <c r="H53" i="1"/>
  <c r="J53" i="1"/>
  <c r="H68" i="1"/>
  <c r="J68" i="1"/>
  <c r="H80" i="1"/>
  <c r="J80" i="1"/>
  <c r="T20" i="1"/>
  <c r="H3" i="1"/>
  <c r="J3" i="1"/>
  <c r="T13" i="1"/>
  <c r="H4" i="1"/>
  <c r="J4" i="1"/>
  <c r="T21" i="1"/>
  <c r="H5" i="1"/>
  <c r="J5" i="1"/>
  <c r="H7" i="1"/>
  <c r="J7" i="1"/>
  <c r="H8" i="1"/>
  <c r="J8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H18" i="1"/>
  <c r="J18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H34" i="1"/>
  <c r="J34" i="1"/>
  <c r="T23" i="1"/>
  <c r="H35" i="1"/>
  <c r="J35" i="1"/>
  <c r="H37" i="1"/>
  <c r="J37" i="1"/>
  <c r="H38" i="1"/>
  <c r="J38" i="1"/>
  <c r="T22" i="1"/>
  <c r="H40" i="1"/>
  <c r="J40" i="1"/>
  <c r="H41" i="1"/>
  <c r="J41" i="1"/>
  <c r="H42" i="1"/>
  <c r="J42" i="1"/>
  <c r="H44" i="1"/>
  <c r="J44" i="1"/>
  <c r="T34" i="1"/>
  <c r="H45" i="1"/>
  <c r="J45" i="1"/>
  <c r="H46" i="1"/>
  <c r="J46" i="1"/>
  <c r="H48" i="1"/>
  <c r="J48" i="1"/>
  <c r="H49" i="1"/>
  <c r="J49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H62" i="1"/>
  <c r="J62" i="1"/>
  <c r="H64" i="1"/>
  <c r="J64" i="1"/>
  <c r="H65" i="1"/>
  <c r="J65" i="1"/>
  <c r="H66" i="1"/>
  <c r="J66" i="1"/>
  <c r="H67" i="1"/>
  <c r="J67" i="1"/>
  <c r="H69" i="1"/>
  <c r="J69" i="1"/>
  <c r="H71" i="1"/>
  <c r="J71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T31" i="1"/>
  <c r="H83" i="1"/>
  <c r="J83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X15" i="1"/>
  <c r="R68" i="1"/>
  <c r="S68" i="1"/>
  <c r="X16" i="1"/>
  <c r="R69" i="1"/>
  <c r="S69" i="1"/>
  <c r="X17" i="1"/>
  <c r="R70" i="1"/>
  <c r="S70" i="1"/>
  <c r="X18" i="1"/>
  <c r="R71" i="1"/>
  <c r="S71" i="1"/>
  <c r="X19" i="1"/>
  <c r="R72" i="1"/>
  <c r="S72" i="1"/>
  <c r="X21" i="1"/>
  <c r="R73" i="1"/>
  <c r="S73" i="1"/>
  <c r="X22" i="1"/>
  <c r="R74" i="1"/>
  <c r="S74" i="1"/>
  <c r="X23" i="1"/>
  <c r="R75" i="1"/>
  <c r="S75" i="1"/>
  <c r="X25" i="1"/>
  <c r="R76" i="1"/>
  <c r="S76" i="1"/>
  <c r="X13" i="1"/>
  <c r="R66" i="1"/>
  <c r="S66" i="1"/>
  <c r="Z14" i="1"/>
  <c r="C4" i="4"/>
  <c r="O27" i="10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Z13" i="1"/>
  <c r="C3" i="4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Z15" i="1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Z16" i="1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Z17" i="1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Z34" i="1"/>
  <c r="C11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Z22" i="1"/>
  <c r="C10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Z25" i="1"/>
  <c r="C13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Z19" i="1"/>
  <c r="C9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Z21" i="1"/>
  <c r="C12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Z23" i="1"/>
  <c r="C14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Z18" i="1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V34" i="1"/>
  <c r="I45" i="1"/>
  <c r="K45" i="1"/>
  <c r="I55" i="1"/>
  <c r="K55" i="1"/>
  <c r="I86" i="1"/>
  <c r="K86" i="1"/>
  <c r="Y34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Z35" i="1"/>
  <c r="C20" i="4"/>
  <c r="J13" i="7"/>
  <c r="A47" i="7"/>
  <c r="Z39" i="1"/>
  <c r="C15" i="4"/>
  <c r="J14" i="7"/>
  <c r="A51" i="7"/>
  <c r="Z38" i="1"/>
  <c r="C16" i="4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2" i="1"/>
  <c r="J6" i="1"/>
  <c r="J9" i="1"/>
  <c r="J17" i="1"/>
  <c r="J19" i="1"/>
  <c r="J33" i="1"/>
  <c r="J36" i="1"/>
  <c r="J39" i="1"/>
  <c r="J43" i="1"/>
  <c r="J50" i="1"/>
  <c r="J59" i="1"/>
  <c r="J61" i="1"/>
  <c r="J63" i="1"/>
  <c r="J70" i="1"/>
  <c r="J72" i="1"/>
  <c r="J84" i="1"/>
  <c r="J95" i="1"/>
  <c r="J97" i="1"/>
  <c r="J98" i="1"/>
  <c r="J100" i="1"/>
  <c r="J101" i="1"/>
  <c r="Q4" i="1"/>
  <c r="S4" i="1"/>
  <c r="Q5" i="1"/>
  <c r="S5" i="1"/>
  <c r="Q6" i="1"/>
  <c r="S6" i="1"/>
  <c r="M102" i="1"/>
  <c r="J102" i="1"/>
  <c r="J103" i="1"/>
  <c r="J104" i="1"/>
  <c r="J105" i="1"/>
  <c r="M106" i="1"/>
  <c r="J106" i="1"/>
  <c r="J107" i="1"/>
  <c r="J108" i="1"/>
  <c r="Q12" i="7"/>
  <c r="Q3" i="7"/>
  <c r="Q4" i="7"/>
  <c r="Q5" i="7"/>
  <c r="Q6" i="7"/>
  <c r="Q7" i="7"/>
  <c r="Q8" i="7"/>
  <c r="Q9" i="7"/>
  <c r="Q10" i="7"/>
  <c r="Q11" i="7"/>
  <c r="Q2" i="7"/>
  <c r="D26" i="4"/>
  <c r="D6" i="4"/>
  <c r="D14" i="4"/>
  <c r="D10" i="4"/>
  <c r="D9" i="4"/>
  <c r="V20" i="1"/>
  <c r="I92" i="1"/>
  <c r="K92" i="1"/>
  <c r="V24" i="1"/>
  <c r="I91" i="1"/>
  <c r="K91" i="1"/>
  <c r="I89" i="1"/>
  <c r="K89" i="1"/>
  <c r="V16" i="1"/>
  <c r="I88" i="1"/>
  <c r="K88" i="1"/>
  <c r="R47" i="1"/>
  <c r="R48" i="1"/>
  <c r="R49" i="1"/>
  <c r="R50" i="1"/>
  <c r="R51" i="1"/>
  <c r="R52" i="1"/>
  <c r="R53" i="1"/>
  <c r="R54" i="1"/>
  <c r="R55" i="1"/>
  <c r="S46" i="1"/>
  <c r="S47" i="1"/>
  <c r="S48" i="1"/>
  <c r="S49" i="1"/>
  <c r="S50" i="1"/>
  <c r="S51" i="1"/>
  <c r="S52" i="1"/>
  <c r="S53" i="1"/>
  <c r="S54" i="1"/>
  <c r="S55" i="1"/>
  <c r="T55" i="1"/>
  <c r="V36" i="1"/>
  <c r="I3" i="9"/>
  <c r="I4" i="9"/>
  <c r="I5" i="9"/>
  <c r="I6" i="9"/>
  <c r="I7" i="9"/>
  <c r="I8" i="9"/>
  <c r="I9" i="9"/>
  <c r="I10" i="9"/>
  <c r="I11" i="9"/>
  <c r="I12" i="9"/>
  <c r="I2" i="9"/>
  <c r="D3" i="4"/>
  <c r="B16" i="8"/>
  <c r="D4" i="4"/>
  <c r="B17" i="8"/>
  <c r="D5" i="4"/>
  <c r="B18" i="8"/>
  <c r="B19" i="8"/>
  <c r="B20" i="8"/>
  <c r="B21" i="8"/>
  <c r="B22" i="8"/>
  <c r="D11" i="4"/>
  <c r="B23" i="8"/>
  <c r="D12" i="4"/>
  <c r="B24" i="8"/>
  <c r="D13" i="4"/>
  <c r="B25" i="8"/>
  <c r="B26" i="8"/>
  <c r="D8" i="4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D61" i="5"/>
  <c r="D63" i="5"/>
  <c r="I37" i="4"/>
  <c r="J37" i="4"/>
  <c r="D15" i="4"/>
  <c r="V18" i="1"/>
  <c r="I87" i="1"/>
  <c r="K87" i="1"/>
  <c r="V21" i="1"/>
  <c r="I85" i="1"/>
  <c r="K85" i="1"/>
  <c r="K84" i="1"/>
  <c r="V31" i="1"/>
  <c r="I83" i="1"/>
  <c r="K83" i="1"/>
  <c r="U2" i="1"/>
  <c r="Q7" i="1"/>
  <c r="T47" i="1"/>
  <c r="T48" i="1"/>
  <c r="T49" i="1"/>
  <c r="T50" i="1"/>
  <c r="T51" i="1"/>
  <c r="T52" i="1"/>
  <c r="T53" i="1"/>
  <c r="T54" i="1"/>
  <c r="W57" i="1"/>
  <c r="R7" i="1"/>
  <c r="S7" i="1"/>
  <c r="S2" i="1"/>
  <c r="E23" i="5"/>
  <c r="Z37" i="1"/>
  <c r="Z40" i="1"/>
  <c r="Z41" i="1"/>
  <c r="Z42" i="1"/>
  <c r="C2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D21" i="4"/>
  <c r="D22" i="4"/>
  <c r="T33" i="1"/>
  <c r="D56" i="5"/>
  <c r="T26" i="1"/>
  <c r="D23" i="5"/>
  <c r="X24" i="1"/>
  <c r="X20" i="1"/>
  <c r="D23" i="4"/>
  <c r="D25" i="4"/>
  <c r="H5" i="4"/>
  <c r="E4" i="4"/>
  <c r="E8" i="4"/>
  <c r="E9" i="4"/>
  <c r="E12" i="4"/>
  <c r="C22" i="4"/>
  <c r="E22" i="4"/>
  <c r="E3" i="4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19" i="4"/>
  <c r="D16" i="4"/>
  <c r="T36" i="1"/>
  <c r="D43" i="5"/>
  <c r="T7" i="1"/>
  <c r="T4" i="1"/>
  <c r="D45" i="5"/>
  <c r="D25" i="5"/>
  <c r="D17" i="4"/>
  <c r="D18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45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<sst xmlns="http://schemas.openxmlformats.org/spreadsheetml/2006/main" count="15390" uniqueCount="7462">
  <si>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</si>
  <si>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</si>
  <si>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</si>
  <si>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</si>
  <si>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</si>
  <si>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</si>
  <si>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</si>
  <si>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</si>
  <si>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</si>
  <si>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</si>
  <si>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</si>
  <si>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</si>
  <si>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</si>
  <si>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</si>
  <si>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</si>
  <si>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</si>
  <si>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</si>
  <si>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</si>
  <si>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</si>
  <si>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</si>
  <si>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</si>
  <si>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</si>
  <si>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</si>
  <si>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</si>
  <si>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</si>
  <si>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</si>
  <si>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</si>
  <si>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</si>
  <si>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</si>
  <si>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</si>
  <si>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</si>
  <si>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</si>
  <si>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</si>
  <si>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</si>
  <si>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</si>
  <si>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</si>
  <si>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</si>
  <si>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</si>
  <si>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</si>
  <si>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</si>
  <si>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</si>
  <si>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</si>
  <si>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</si>
  <si>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</si>
  <si>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</si>
  <si>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</si>
  <si>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</si>
  <si>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</si>
  <si>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</si>
  <si>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</si>
  <si>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</si>
  <si>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</si>
  <si>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</si>
  <si>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</si>
  <si>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</si>
  <si>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</si>
  <si>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</si>
  <si>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</si>
  <si>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</si>
  <si>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</si>
  <si>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</si>
  <si>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</si>
  <si>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</si>
  <si>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</si>
  <si>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</si>
  <si>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</si>
  <si>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</si>
  <si>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</si>
  <si>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</si>
  <si>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</si>
  <si>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</si>
  <si>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</si>
  <si>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</si>
  <si>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</si>
  <si>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</si>
  <si>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</si>
  <si>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</si>
  <si>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</si>
  <si>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</si>
  <si>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</si>
  <si>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</si>
  <si>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</si>
  <si>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</si>
  <si>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</si>
  <si>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</si>
  <si>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</si>
  <si>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</si>
  <si>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</si>
  <si>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</si>
  <si>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</si>
  <si>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</si>
  <si>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</si>
  <si>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</si>
  <si>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</si>
  <si>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</si>
  <si>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</si>
  <si>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</si>
  <si>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</si>
  <si>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</si>
  <si>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</si>
  <si>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</si>
  <si>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</si>
  <si>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</si>
  <si>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</si>
  <si>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</si>
  <si>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</si>
  <si>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</si>
  <si>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</si>
  <si>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</si>
  <si>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</si>
  <si>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</si>
  <si>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</si>
  <si>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</si>
  <si>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</si>
  <si>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</si>
  <si>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</si>
  <si>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</si>
  <si>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</si>
  <si>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</si>
  <si>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</si>
  <si>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</si>
  <si>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</si>
  <si>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</si>
  <si>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</si>
  <si>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</si>
  <si>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</si>
  <si>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</si>
  <si>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</si>
  <si>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</si>
  <si>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</si>
  <si>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</si>
  <si>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</si>
  <si>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</si>
  <si>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</si>
  <si>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</si>
  <si>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</si>
  <si>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</si>
  <si>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</si>
  <si>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</si>
  <si>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</si>
  <si>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</si>
  <si>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</si>
  <si>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</si>
  <si>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</si>
  <si>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</si>
  <si>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</si>
  <si>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</si>
  <si>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</si>
  <si>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</si>
  <si>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</si>
  <si>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</si>
  <si>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</si>
  <si>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</si>
  <si>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</si>
  <si>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</si>
  <si>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</si>
  <si>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</si>
  <si>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</si>
  <si>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</si>
  <si>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</si>
  <si>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</si>
  <si>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</si>
  <si>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</si>
  <si>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</si>
  <si>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</si>
  <si>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</si>
  <si>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</si>
  <si>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</si>
  <si>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</si>
  <si>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</si>
  <si>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</si>
  <si>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</si>
  <si>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</si>
  <si>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</si>
  <si>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</si>
  <si>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</si>
  <si>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</si>
  <si>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</si>
  <si>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</si>
  <si>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</si>
  <si>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</si>
  <si>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</si>
  <si>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</si>
  <si>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</si>
  <si>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</si>
  <si>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</si>
  <si>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</si>
  <si>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</si>
  <si>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</si>
  <si>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</si>
  <si>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</si>
  <si>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</si>
  <si>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</si>
  <si>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</si>
  <si>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</si>
  <si>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</si>
  <si>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</si>
  <si>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</si>
  <si>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</si>
  <si>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</si>
  <si>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</si>
  <si>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</si>
  <si>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</si>
  <si>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</si>
  <si>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</si>
  <si>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</si>
  <si>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</si>
  <si>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</si>
  <si>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</si>
  <si>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</si>
  <si>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</si>
  <si>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</si>
  <si>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</si>
  <si>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</si>
  <si>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</si>
  <si>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</si>
  <si>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</si>
  <si>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</si>
  <si>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</si>
  <si>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</si>
  <si>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</si>
  <si>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</si>
  <si>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</si>
  <si>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</si>
  <si>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</si>
  <si>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</si>
  <si>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</si>
  <si>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</si>
  <si>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</si>
  <si>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</si>
  <si>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</si>
  <si>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</si>
  <si>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</si>
  <si>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</si>
  <si>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</si>
  <si>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</si>
  <si>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</si>
  <si>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</si>
  <si>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</si>
  <si>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</si>
  <si>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</si>
  <si>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</si>
  <si>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</si>
  <si>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</si>
  <si>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</si>
  <si>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</si>
  <si>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</si>
  <si>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</si>
  <si>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</si>
  <si>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</si>
  <si>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</si>
  <si>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</si>
  <si>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</si>
  <si>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</si>
  <si>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</si>
  <si>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</si>
  <si>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</si>
  <si>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</si>
  <si>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</si>
  <si>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</si>
  <si>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</si>
  <si>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</si>
  <si>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</si>
  <si>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</si>
  <si>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</si>
  <si>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</si>
  <si>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</si>
  <si>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</si>
  <si>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</si>
  <si>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</si>
  <si>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</si>
  <si>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</si>
  <si>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</si>
  <si>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</si>
  <si>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</si>
  <si>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</si>
  <si>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</si>
  <si>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</si>
  <si>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</si>
  <si>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</si>
  <si>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</si>
  <si>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</si>
  <si>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</si>
  <si>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</si>
  <si>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</si>
  <si>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</si>
  <si>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</si>
  <si>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</si>
  <si>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</si>
  <si>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</si>
  <si>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</si>
  <si>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</si>
  <si>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</si>
  <si>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</si>
  <si>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</si>
  <si>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</si>
  <si>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</si>
  <si>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</si>
  <si>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</si>
  <si>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</si>
  <si>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</si>
  <si>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</si>
  <si>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</si>
  <si>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</si>
  <si>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</si>
  <si>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</si>
  <si>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</si>
  <si>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</si>
  <si>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</si>
  <si>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</si>
  <si>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</si>
  <si>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</si>
  <si>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</si>
  <si>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</si>
  <si>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</si>
  <si>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</si>
  <si>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</si>
  <si>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</si>
  <si>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</si>
  <si>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</si>
  <si>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</si>
  <si>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</si>
  <si>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</si>
  <si>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</si>
  <si>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</si>
  <si>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</si>
  <si>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</si>
  <si>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</si>
  <si>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</si>
  <si>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</si>
  <si>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</si>
  <si>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</si>
  <si>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</si>
  <si>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</si>
  <si>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</si>
  <si>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</si>
  <si>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</si>
  <si>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</si>
  <si>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</si>
  <si>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</si>
  <si>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</si>
  <si>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</si>
  <si>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</si>
  <si>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</si>
  <si>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</si>
  <si>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</si>
  <si>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</si>
  <si>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</si>
  <si>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</si>
  <si>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</si>
  <si>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</si>
  <si>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</si>
  <si>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</si>
  <si>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</si>
  <si>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</si>
  <si>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</si>
  <si>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</si>
  <si>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</si>
  <si>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</si>
  <si>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</si>
  <si>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</si>
  <si>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</si>
  <si>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</si>
  <si>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</si>
  <si>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</si>
  <si>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</si>
  <si>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</si>
  <si>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</si>
  <si>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</si>
  <si>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</si>
  <si>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</si>
  <si>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</si>
  <si>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</si>
  <si>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</si>
  <si>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</si>
  <si>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</si>
  <si>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</si>
  <si>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</si>
  <si>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</si>
  <si>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</si>
  <si>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</si>
  <si>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</si>
  <si>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</si>
  <si>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</si>
  <si>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</si>
  <si>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</si>
  <si>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</si>
  <si>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</si>
  <si>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</si>
  <si>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</si>
  <si>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</si>
  <si>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</si>
  <si>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</si>
  <si>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</si>
  <si>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</si>
  <si>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</si>
  <si>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</si>
  <si>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</si>
  <si>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</si>
  <si>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</si>
  <si>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</si>
  <si>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</si>
  <si>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</si>
  <si>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</si>
  <si>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</si>
  <si>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</si>
  <si>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</si>
  <si>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</si>
  <si>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</si>
  <si>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</si>
  <si>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</si>
  <si>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</si>
  <si>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</si>
  <si>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</si>
  <si>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</si>
  <si>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</si>
  <si>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</si>
  <si>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</si>
  <si>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</si>
  <si>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</si>
  <si>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</si>
  <si>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</si>
  <si>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</si>
  <si>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</si>
  <si>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</si>
  <si>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</si>
  <si>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</si>
  <si>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</si>
  <si>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</si>
  <si>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</si>
  <si>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</si>
  <si>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</si>
  <si>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</si>
  <si>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</si>
  <si>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</si>
  <si>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</si>
  <si>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</si>
  <si>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</si>
  <si>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</si>
  <si>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</si>
  <si>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</si>
  <si>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</si>
  <si>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</si>
  <si>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</si>
  <si>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</si>
  <si>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</si>
  <si>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</si>
  <si>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</si>
  <si>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</si>
  <si>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</si>
  <si>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</si>
  <si>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</si>
  <si>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</si>
  <si>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</si>
  <si>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</si>
  <si>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</si>
  <si>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</si>
  <si>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</si>
  <si>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</si>
  <si>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</si>
  <si>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</si>
  <si>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</si>
  <si>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</si>
  <si>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</si>
  <si>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</si>
  <si>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</si>
  <si>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</si>
  <si>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</si>
  <si>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</si>
  <si>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</si>
  <si>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</si>
  <si>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</si>
  <si>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</si>
  <si>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</si>
  <si>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</si>
  <si>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</si>
  <si>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</si>
  <si>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</si>
  <si>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</si>
  <si>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</si>
  <si>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</si>
  <si>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</si>
  <si>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</si>
  <si>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</si>
  <si>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</si>
  <si>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</si>
  <si>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</si>
  <si>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</si>
  <si>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</si>
  <si>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</si>
  <si>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</si>
  <si>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</si>
  <si>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</si>
  <si>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</si>
  <si>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</si>
  <si>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</si>
  <si>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</si>
  <si>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</si>
  <si>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</si>
  <si>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</si>
  <si>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</si>
  <si>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</si>
  <si>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</si>
  <si>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</si>
  <si>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</si>
  <si>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</si>
  <si>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</si>
  <si>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</si>
  <si>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</si>
  <si>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</si>
  <si>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</si>
  <si>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</si>
  <si>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</si>
  <si>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</si>
  <si>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</si>
  <si>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</si>
  <si>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</si>
  <si>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</si>
  <si>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</si>
  <si>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</si>
  <si>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</si>
  <si>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</si>
  <si>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</si>
  <si>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</si>
  <si>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</si>
  <si>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</si>
  <si>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</si>
  <si>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</si>
  <si>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</si>
  <si>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</si>
  <si>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</si>
  <si>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</si>
  <si>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</si>
  <si>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</si>
  <si>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</si>
  <si>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</si>
  <si>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</si>
  <si>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</si>
  <si>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</si>
  <si>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</si>
  <si>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</si>
  <si>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</si>
  <si>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</si>
  <si>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</si>
  <si>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</si>
  <si>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</si>
  <si>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</si>
  <si>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</si>
  <si>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</si>
  <si>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</si>
  <si>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</si>
  <si>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</si>
  <si>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</si>
  <si>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</si>
  <si>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</si>
  <si>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</si>
  <si>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</si>
  <si>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</si>
  <si>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</si>
  <si>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</si>
  <si>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</si>
  <si>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</si>
  <si>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</si>
  <si>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</si>
  <si>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</si>
  <si>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</si>
  <si>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</si>
  <si>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</si>
  <si>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</si>
  <si>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</si>
  <si>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</si>
  <si>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</si>
  <si>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</si>
  <si>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</si>
  <si>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</si>
  <si>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</si>
  <si>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</si>
  <si>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</si>
  <si>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</si>
  <si>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</si>
  <si>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</si>
  <si>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</si>
  <si>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</si>
  <si>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</si>
  <si>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</si>
  <si>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</si>
  <si>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</si>
  <si>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</si>
  <si>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</si>
  <si>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</si>
  <si>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</si>
  <si>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</si>
  <si>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</si>
  <si>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</si>
  <si>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</si>
  <si>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</si>
  <si>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</si>
  <si>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</si>
  <si>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</si>
  <si>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</si>
  <si>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</si>
  <si>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</si>
  <si>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</si>
  <si>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</si>
  <si>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</si>
  <si>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</si>
  <si>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</si>
  <si>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</si>
  <si>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</si>
  <si>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</si>
  <si>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</si>
  <si>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</si>
  <si>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</si>
  <si>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</si>
  <si>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</si>
  <si>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</si>
  <si>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</si>
  <si>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</si>
  <si>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</si>
  <si>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</si>
  <si>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</si>
  <si>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</si>
  <si>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</si>
  <si>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</si>
  <si>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</si>
  <si>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</si>
  <si>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</si>
  <si>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</si>
  <si>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</si>
  <si>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</si>
  <si>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</si>
  <si>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</si>
  <si>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</si>
  <si>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</si>
  <si>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</si>
  <si>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</si>
  <si>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</si>
  <si>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</si>
  <si>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</si>
  <si>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</si>
  <si>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</si>
  <si>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</si>
  <si>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</si>
  <si>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</si>
  <si>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</si>
  <si>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</si>
  <si>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</si>
  <si>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</si>
  <si>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</si>
  <si>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</si>
  <si>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</si>
  <si>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</si>
  <si>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</si>
  <si>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</si>
  <si>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</si>
  <si>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</si>
  <si>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</si>
  <si>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</si>
  <si>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</si>
  <si>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</si>
  <si>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</si>
  <si>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</si>
  <si>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</si>
  <si>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</si>
  <si>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</si>
  <si>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</si>
  <si>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</si>
  <si>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</si>
  <si>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</si>
  <si>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</si>
  <si>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</si>
  <si>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</si>
  <si>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</si>
  <si>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</si>
  <si>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</si>
  <si>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</si>
  <si>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</si>
  <si>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</si>
  <si>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</si>
  <si>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</si>
  <si>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</si>
  <si>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</si>
  <si>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</si>
  <si>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</si>
  <si>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</si>
  <si>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</si>
  <si>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</si>
  <si>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</si>
  <si>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</si>
  <si>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</si>
  <si>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</si>
  <si>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</si>
  <si>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</si>
  <si>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</si>
  <si>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</si>
  <si>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</si>
  <si>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</si>
  <si>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</si>
  <si>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</si>
  <si>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</si>
  <si>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</si>
  <si>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</si>
  <si>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</si>
  <si>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</si>
  <si>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</si>
  <si>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</si>
  <si>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</si>
  <si>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</si>
  <si>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</si>
  <si>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</si>
  <si>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</si>
  <si>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</si>
  <si>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</si>
  <si>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</si>
  <si>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</si>
  <si>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</si>
  <si>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</si>
  <si>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</si>
  <si>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</si>
  <si>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</si>
  <si>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</si>
  <si>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</si>
  <si>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</si>
  <si>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</si>
  <si>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</si>
  <si>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</si>
  <si>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</si>
  <si>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</si>
  <si>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</si>
  <si>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</si>
  <si>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</si>
  <si>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</si>
  <si>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</si>
  <si>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</si>
  <si>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</si>
  <si>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</si>
  <si>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</si>
  <si>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</si>
  <si>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</si>
  <si>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</si>
  <si>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</si>
  <si>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</si>
  <si>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</si>
  <si>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</si>
  <si>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</si>
  <si>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</si>
  <si>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</si>
  <si>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</si>
  <si>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</si>
  <si>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</si>
  <si>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</si>
  <si>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</si>
  <si>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</si>
  <si>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</si>
  <si>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</si>
  <si>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</si>
  <si>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</si>
  <si>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</si>
  <si>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</si>
  <si>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</si>
  <si>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</si>
  <si>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</si>
  <si>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</si>
  <si>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</si>
  <si>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</si>
  <si>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</si>
  <si>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</si>
  <si>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</si>
  <si>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</si>
  <si>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</si>
  <si>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</si>
  <si>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</si>
  <si>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</si>
  <si>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</si>
  <si>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</si>
  <si>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</si>
  <si>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</si>
  <si>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</si>
  <si>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</si>
  <si>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</si>
  <si>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</si>
  <si>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</si>
  <si>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</si>
  <si>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</si>
  <si>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</si>
  <si>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</si>
  <si>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</si>
  <si>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</si>
  <si>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</si>
  <si>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</si>
  <si>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</si>
  <si>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</si>
  <si>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</si>
  <si>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</si>
  <si>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</si>
  <si>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</si>
  <si>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</si>
  <si>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</si>
  <si>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</si>
  <si>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</si>
  <si>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</si>
  <si>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</si>
  <si>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</si>
  <si>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</si>
  <si>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</si>
  <si>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</si>
  <si>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</si>
  <si>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</si>
  <si>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</si>
  <si>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</si>
  <si>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</si>
  <si>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</si>
  <si>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</si>
  <si>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</si>
  <si>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</si>
  <si>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</si>
  <si>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</si>
  <si>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</si>
  <si>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</si>
  <si>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</si>
  <si>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</si>
  <si>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</si>
  <si>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</si>
  <si>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</si>
  <si>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</si>
  <si>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</si>
  <si>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</si>
  <si>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</si>
  <si>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</si>
  <si>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</si>
  <si>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</si>
  <si>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</si>
  <si>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</si>
  <si>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</si>
  <si>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</si>
  <si>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</si>
  <si>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</si>
  <si>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</si>
  <si>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</si>
  <si>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</si>
  <si>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</si>
  <si>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</si>
  <si>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</si>
  <si>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</si>
  <si>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</si>
  <si>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</si>
  <si>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</si>
  <si>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</si>
  <si>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</si>
  <si>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</si>
  <si>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</si>
  <si>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</si>
  <si>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</si>
  <si>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</si>
  <si>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</si>
  <si>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</si>
  <si>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</si>
  <si>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</si>
  <si>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</si>
  <si>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</si>
  <si>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</si>
  <si>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</si>
  <si>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</si>
  <si>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</si>
  <si>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</si>
  <si>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</si>
  <si>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</si>
  <si>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</si>
  <si>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</si>
  <si>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</si>
  <si>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</si>
  <si>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</si>
  <si>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</si>
  <si>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</si>
  <si>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</si>
  <si>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</si>
  <si>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</si>
  <si>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</si>
  <si>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</si>
  <si>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</si>
  <si>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</si>
  <si>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</si>
  <si>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</si>
  <si>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</si>
  <si>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</si>
  <si>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</si>
  <si>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</si>
  <si>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</si>
  <si>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</si>
  <si>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</si>
  <si>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</si>
  <si>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</si>
  <si>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</si>
  <si>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</si>
  <si>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</si>
  <si>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</si>
  <si>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</si>
  <si>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</si>
  <si>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</si>
  <si>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</si>
  <si>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</si>
  <si>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</si>
  <si>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</si>
  <si>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</si>
  <si>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</si>
  <si>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</si>
  <si>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</si>
  <si>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</si>
  <si>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</si>
  <si>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</si>
  <si>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</si>
  <si>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</si>
  <si>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</si>
  <si>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</si>
  <si>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</si>
  <si>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</si>
  <si>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</si>
  <si>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</si>
  <si>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</si>
  <si>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</si>
  <si>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</si>
  <si>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</si>
  <si>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</si>
  <si>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</si>
  <si>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</si>
  <si>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</si>
  <si>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</si>
  <si>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</si>
  <si>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</si>
  <si>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</si>
  <si>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</si>
  <si>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</si>
  <si>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</si>
  <si>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</si>
  <si>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</si>
  <si>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</si>
  <si>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</si>
  <si>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</si>
  <si>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</si>
  <si>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</si>
  <si>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</si>
  <si>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</si>
  <si>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</si>
  <si>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</si>
  <si>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</si>
  <si>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</si>
  <si>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</si>
  <si>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</si>
  <si>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</si>
  <si>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</si>
  <si>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</si>
  <si>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</si>
  <si>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</si>
  <si>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</si>
  <si>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</si>
  <si>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</si>
  <si>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</si>
  <si>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</si>
  <si>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</si>
  <si>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</si>
  <si>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</si>
  <si>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</si>
  <si>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</si>
  <si>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</si>
  <si>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</si>
  <si>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</si>
  <si>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</si>
  <si>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</si>
  <si>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</si>
  <si>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</si>
  <si>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</si>
  <si>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</si>
  <si>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</si>
  <si>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</si>
  <si>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</si>
  <si>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</si>
  <si>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</si>
  <si>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</si>
  <si>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</si>
  <si>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</si>
  <si>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</si>
  <si>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</si>
  <si>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</si>
  <si>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</si>
  <si>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</si>
  <si>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</si>
  <si>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</si>
  <si>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</si>
  <si>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</si>
  <si>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</si>
  <si>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</si>
  <si>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</si>
  <si>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</si>
  <si>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</si>
  <si>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</si>
  <si>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</si>
  <si>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</si>
  <si>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</si>
  <si>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</si>
  <si>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</si>
  <si>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</si>
  <si>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</si>
  <si>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</si>
  <si>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</si>
  <si>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</si>
  <si>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</si>
  <si>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</si>
  <si>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</si>
  <si>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</si>
  <si>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</si>
  <si>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</si>
  <si>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</si>
  <si>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</si>
  <si>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</si>
  <si>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</si>
  <si>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</si>
  <si>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</si>
  <si>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</si>
  <si>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</si>
  <si>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</si>
  <si>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</si>
  <si>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</si>
  <si>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</si>
  <si>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</si>
  <si>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</si>
  <si>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</si>
  <si>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</si>
  <si>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</si>
  <si>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</si>
  <si>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</si>
  <si>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</si>
  <si>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</si>
  <si>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</si>
  <si>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</si>
  <si>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</si>
  <si>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</si>
  <si>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</si>
  <si>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</si>
  <si>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</si>
  <si>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</si>
  <si>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</si>
  <si>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</si>
  <si>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</si>
  <si>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</si>
  <si>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</si>
  <si>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</si>
  <si>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</si>
  <si>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</si>
  <si>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</si>
  <si>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</si>
  <si>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</si>
  <si>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</si>
  <si>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</si>
  <si>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</si>
  <si>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</si>
  <si>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</si>
  <si>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</si>
  <si>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</si>
  <si>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</si>
  <si>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</si>
  <si>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</si>
  <si>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</si>
  <si>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</si>
  <si>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</si>
  <si>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</si>
  <si>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</si>
  <si>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</si>
  <si>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</si>
  <si>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</si>
  <si>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</si>
  <si>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</si>
  <si>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</si>
  <si>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</si>
  <si>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</si>
  <si>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</si>
  <si>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</si>
  <si>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</si>
  <si>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</si>
  <si>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</si>
  <si>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</si>
  <si>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</si>
  <si>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</si>
  <si>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</si>
  <si>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</si>
  <si>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</si>
  <si>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</si>
  <si>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</si>
  <si>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</si>
  <si>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</si>
  <si>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</si>
  <si>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</si>
  <si>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</si>
  <si>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</si>
  <si>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</si>
  <si>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</si>
  <si>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</si>
  <si>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</si>
  <si>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</si>
  <si>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</si>
  <si>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</si>
  <si>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</si>
  <si>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</si>
  <si>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</si>
  <si>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</si>
  <si>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</si>
  <si>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</si>
  <si>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</si>
  <si>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</si>
  <si>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</si>
  <si>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</si>
  <si>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</si>
  <si>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</si>
  <si>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</si>
  <si>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</si>
  <si>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</si>
  <si>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</si>
  <si>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</si>
  <si>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</si>
  <si>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</si>
  <si>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</si>
  <si>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</si>
  <si>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</si>
  <si>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</si>
  <si>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</si>
  <si>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</si>
  <si>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</si>
  <si>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</si>
  <si>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</si>
  <si>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</si>
  <si>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</si>
  <si>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</si>
  <si>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</si>
  <si>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</si>
  <si>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</si>
  <si>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</si>
  <si>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</si>
  <si>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</si>
  <si>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</si>
  <si>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</si>
  <si>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</si>
  <si>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</si>
  <si>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</si>
  <si>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</si>
  <si>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</si>
  <si>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</si>
  <si>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</si>
  <si>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</si>
  <si>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</si>
  <si>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</si>
  <si>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</si>
  <si>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</si>
  <si>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</si>
  <si>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</si>
  <si>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</si>
  <si>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</si>
  <si>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</si>
  <si>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</si>
  <si>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</si>
  <si>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</si>
  <si>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</si>
  <si>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</si>
  <si>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</si>
  <si>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</si>
  <si>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</si>
  <si>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</si>
  <si>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</si>
  <si>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</si>
  <si>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</si>
  <si>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</si>
  <si>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</si>
  <si>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</si>
  <si>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</si>
  <si>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</si>
  <si>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</si>
  <si>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</si>
  <si>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</si>
  <si>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</si>
  <si>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</si>
  <si>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</si>
  <si>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</si>
  <si>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</si>
  <si>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</si>
  <si>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</si>
  <si>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</si>
  <si>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</si>
  <si>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</si>
  <si>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</si>
  <si>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</si>
  <si>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</si>
  <si>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</si>
  <si>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</si>
  <si>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</si>
  <si>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</si>
  <si>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</si>
  <si>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</si>
  <si>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</si>
  <si>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</si>
  <si>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</si>
  <si>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</si>
  <si>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</si>
  <si>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</si>
  <si>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</si>
  <si>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</si>
  <si>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</si>
  <si>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</si>
  <si>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</si>
  <si>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</si>
  <si>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</si>
  <si>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</si>
  <si>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</si>
  <si>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</si>
  <si>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</si>
  <si>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</si>
  <si>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</si>
  <si>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</si>
  <si>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</si>
  <si>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</si>
  <si>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</si>
  <si>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</si>
  <si>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</si>
  <si>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</si>
  <si>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</si>
  <si>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</si>
  <si>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</si>
  <si>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</si>
  <si>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</si>
  <si>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</si>
  <si>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</si>
  <si>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</si>
  <si>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</si>
  <si>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</si>
  <si>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</si>
  <si>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</si>
  <si>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</si>
  <si>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</si>
  <si>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</si>
  <si>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</si>
  <si>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</si>
  <si>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</si>
  <si>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</si>
  <si>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</si>
  <si>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</si>
  <si>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</si>
  <si>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</si>
  <si>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</si>
  <si>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</si>
  <si>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</si>
  <si>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</si>
  <si>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</si>
  <si>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</si>
  <si>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</si>
  <si>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</si>
  <si>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</si>
  <si>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</si>
  <si>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</si>
  <si>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</si>
  <si>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</si>
  <si>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</si>
  <si>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</si>
  <si>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</si>
  <si>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</si>
  <si>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</si>
  <si>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</si>
  <si>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</si>
  <si>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</si>
  <si>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</si>
  <si>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</si>
  <si>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</si>
  <si>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</si>
  <si>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</si>
  <si>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</si>
  <si>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</si>
  <si>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</si>
  <si>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</si>
  <si>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</si>
  <si>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</si>
  <si>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</si>
  <si>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</si>
  <si>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</si>
  <si>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</si>
  <si>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</si>
  <si>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</si>
  <si>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</si>
  <si>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</si>
  <si>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</si>
  <si>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</si>
  <si>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</si>
  <si>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</si>
  <si>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</si>
  <si>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</si>
  <si>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</si>
  <si>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</si>
  <si>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</si>
  <si>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</si>
  <si>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</si>
  <si>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</si>
  <si>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</si>
  <si>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</si>
  <si>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</si>
  <si>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</si>
  <si>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</si>
  <si>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</si>
  <si>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</si>
  <si>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</si>
  <si>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</si>
  <si>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</si>
  <si>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</si>
  <si>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</si>
  <si>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</si>
  <si>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</si>
  <si>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</si>
  <si>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</si>
  <si>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</si>
  <si>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</si>
  <si>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</si>
  <si>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</si>
  <si>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</si>
  <si>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</si>
  <si>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</si>
  <si>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</si>
  <si>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</si>
  <si>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</si>
  <si>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</si>
  <si>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</si>
  <si>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</si>
  <si>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</si>
  <si>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</si>
  <si>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</si>
  <si>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</si>
  <si>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</si>
  <si>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</si>
  <si>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</si>
  <si>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</si>
  <si>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</si>
  <si>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</si>
  <si>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</si>
  <si>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</si>
  <si>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</si>
  <si>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</si>
  <si>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</si>
  <si>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</si>
  <si>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</si>
  <si>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</si>
  <si>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</si>
  <si>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</si>
  <si>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</si>
  <si>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</si>
  <si>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</si>
  <si>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</si>
  <si>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</si>
  <si>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</si>
  <si>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</si>
  <si>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</si>
  <si>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</si>
  <si>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</si>
  <si>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</si>
  <si>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</si>
  <si>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</si>
  <si>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</si>
  <si>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</si>
  <si>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</si>
  <si>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</si>
  <si>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</si>
  <si>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</si>
  <si>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</si>
  <si>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</si>
  <si>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</si>
  <si>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</si>
  <si>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</si>
  <si>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</si>
  <si>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</si>
  <si>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</si>
  <si>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</si>
  <si>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</si>
  <si>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</si>
  <si>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</si>
  <si>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</si>
  <si>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</si>
  <si>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</si>
  <si>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</si>
  <si>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</si>
  <si>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</si>
  <si>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</si>
  <si>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</si>
  <si>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</si>
  <si>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</si>
  <si>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</si>
  <si>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</si>
  <si>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</si>
  <si>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</si>
  <si>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</si>
  <si>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</si>
  <si>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</si>
  <si>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</si>
  <si>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</si>
  <si>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</si>
  <si>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</si>
  <si>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</si>
  <si>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</si>
  <si>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</si>
  <si>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</si>
  <si>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</si>
  <si>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</si>
  <si>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</si>
  <si>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</si>
  <si>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</si>
  <si>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</si>
  <si>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</si>
  <si>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</si>
  <si>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</si>
  <si>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</si>
  <si>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</si>
  <si>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</si>
  <si>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</si>
  <si>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</si>
  <si>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</si>
  <si>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</si>
  <si>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</si>
  <si>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</si>
  <si>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</si>
  <si>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</si>
  <si>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</si>
  <si>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</si>
  <si>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</si>
  <si>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</si>
  <si>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</si>
  <si>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</si>
  <si>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</si>
  <si>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</si>
  <si>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</si>
  <si>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</si>
  <si>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</si>
  <si>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</si>
  <si>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</si>
  <si>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</si>
  <si>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</si>
  <si>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</si>
  <si>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</si>
  <si>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</si>
  <si>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</si>
  <si>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</si>
  <si>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</si>
  <si>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</si>
  <si>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</si>
  <si>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</si>
  <si>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</si>
  <si>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</si>
  <si>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</si>
  <si>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</si>
  <si>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</si>
  <si>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</si>
  <si>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</si>
  <si>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</si>
  <si>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</si>
  <si>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</si>
  <si>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</si>
  <si>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</si>
  <si>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</si>
  <si>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</si>
  <si>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</si>
  <si>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</si>
  <si>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</si>
  <si>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</si>
  <si>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</si>
  <si>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</si>
  <si>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</si>
  <si>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</si>
  <si>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</si>
  <si>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</si>
  <si>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</si>
  <si>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</si>
  <si>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</si>
  <si>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</si>
  <si>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</si>
  <si>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</si>
  <si>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</si>
  <si>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</si>
  <si>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</si>
  <si>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</si>
  <si>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</si>
  <si>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</si>
  <si>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</si>
  <si>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</si>
  <si>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</si>
  <si>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</si>
  <si>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</si>
  <si>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</si>
  <si>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</si>
  <si>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</si>
  <si>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</si>
  <si>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</si>
  <si>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</si>
  <si>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</si>
  <si>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</si>
  <si>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</si>
  <si>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</si>
  <si>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</si>
  <si>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</si>
  <si>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</si>
  <si>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</si>
  <si>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</si>
  <si>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</si>
  <si>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</si>
  <si>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</si>
  <si>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</si>
  <si>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</si>
  <si>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</si>
  <si>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</si>
  <si>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</si>
  <si>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</si>
  <si>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</si>
  <si>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</si>
  <si>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</si>
  <si>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</si>
  <si>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</si>
  <si>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</si>
  <si>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</si>
  <si>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</si>
  <si>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</si>
  <si>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</si>
  <si>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</si>
  <si>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</si>
  <si>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</si>
  <si>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</si>
  <si>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</si>
  <si>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</si>
  <si>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</si>
  <si>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</si>
  <si>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</si>
  <si>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</si>
  <si>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</si>
  <si>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</si>
  <si>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</si>
  <si>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</si>
  <si>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</si>
  <si>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</si>
  <si>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</si>
  <si>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</si>
  <si>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</si>
  <si>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</si>
  <si>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</si>
  <si>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</si>
  <si>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</si>
  <si>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</si>
  <si>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</si>
  <si>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</si>
  <si>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</si>
  <si>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</si>
  <si>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</si>
  <si>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</si>
  <si>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</si>
  <si>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</si>
  <si>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</si>
  <si>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</si>
  <si>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</si>
  <si>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</si>
  <si>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</si>
  <si>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</si>
  <si>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</si>
  <si>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</si>
  <si>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</si>
  <si>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</si>
  <si>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</si>
  <si>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</si>
  <si>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</si>
  <si>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</si>
  <si>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</si>
  <si>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</si>
  <si>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</si>
  <si>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</si>
  <si>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</si>
  <si>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</si>
  <si>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</si>
  <si>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</si>
  <si>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</si>
  <si>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</si>
  <si>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</si>
  <si>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</si>
  <si>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</si>
  <si>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</si>
  <si>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</si>
  <si>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</si>
  <si>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</si>
  <si>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</si>
  <si>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</si>
  <si>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</si>
  <si>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</si>
  <si>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</si>
  <si>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</si>
  <si>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</si>
  <si>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</si>
  <si>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</si>
  <si>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</si>
  <si>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</si>
  <si>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</si>
  <si>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</si>
  <si>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</si>
  <si>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</si>
  <si>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</si>
  <si>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</si>
  <si>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</si>
  <si>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</si>
  <si>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</si>
  <si>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</si>
  <si>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</si>
  <si>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</si>
  <si>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</si>
  <si>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</si>
  <si>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</si>
  <si>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</si>
  <si>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</si>
  <si>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</si>
  <si>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</si>
  <si>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</si>
  <si>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</si>
  <si>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</si>
  <si>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</si>
  <si>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</si>
  <si>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</si>
  <si>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</si>
  <si>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</si>
  <si>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</si>
  <si>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</si>
  <si>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</si>
  <si>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</si>
  <si>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</si>
  <si>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</si>
  <si>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</si>
  <si>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</si>
  <si>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</si>
  <si>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</si>
  <si>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</si>
  <si>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</si>
  <si>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</si>
  <si>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</si>
  <si>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</si>
  <si>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</si>
  <si>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</si>
  <si>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</si>
  <si>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</si>
  <si>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</si>
  <si>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</si>
  <si>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</si>
  <si>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</si>
  <si>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</si>
  <si>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</si>
  <si>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</si>
  <si>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</si>
  <si>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</si>
  <si>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</si>
  <si>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</si>
  <si>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</si>
  <si>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</si>
  <si>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</si>
  <si>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</si>
  <si>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</si>
  <si>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</si>
  <si>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</si>
  <si>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</si>
  <si>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</si>
  <si>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</si>
  <si>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</si>
  <si>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</si>
  <si>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</si>
  <si>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</si>
  <si>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</si>
  <si>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</si>
  <si>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</si>
  <si>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</si>
  <si>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</si>
  <si>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</si>
  <si>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</si>
  <si>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</si>
  <si>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</si>
  <si>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</si>
  <si>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</si>
  <si>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</si>
  <si>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</si>
  <si>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</si>
  <si>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</si>
  <si>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</si>
  <si>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</si>
  <si>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</si>
  <si>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</si>
  <si>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</si>
  <si>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</si>
  <si>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</si>
  <si>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</si>
  <si>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</si>
  <si>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</si>
  <si>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</si>
  <si>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</si>
  <si>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</si>
  <si>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</si>
  <si>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</si>
  <si>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</si>
  <si>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</si>
  <si>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</si>
  <si>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</si>
  <si>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</si>
  <si>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</si>
  <si>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</si>
  <si>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</si>
  <si>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</si>
  <si>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</si>
  <si>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</si>
  <si>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</si>
  <si>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</si>
  <si>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</si>
  <si>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</si>
  <si>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</si>
  <si>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</si>
  <si>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</si>
  <si>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</si>
  <si>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</si>
  <si>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</si>
  <si>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</si>
  <si>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</si>
  <si>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</si>
  <si>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</si>
  <si>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</si>
  <si>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</si>
  <si>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</si>
  <si>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</si>
  <si>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</si>
  <si>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</si>
  <si>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</si>
  <si>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</si>
  <si>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</si>
  <si>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</si>
  <si>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</si>
  <si>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</si>
  <si>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</si>
  <si>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</si>
  <si>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</si>
  <si>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</si>
  <si>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</si>
  <si>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</si>
  <si>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</si>
  <si>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</si>
  <si>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</si>
  <si>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</si>
  <si>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</si>
  <si>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</si>
  <si>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</si>
  <si>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</si>
  <si>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</si>
  <si>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</si>
  <si>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</si>
  <si>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</si>
  <si>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</si>
  <si>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</si>
  <si>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</si>
  <si>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</si>
  <si>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</si>
  <si>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</si>
  <si>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</si>
  <si>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</si>
  <si>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</si>
  <si>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</si>
  <si>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</si>
  <si>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</si>
  <si>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</si>
  <si>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</si>
  <si>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</si>
  <si>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</si>
  <si>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</si>
  <si>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</si>
  <si>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</si>
  <si>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</si>
  <si>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</si>
  <si>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</si>
  <si>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</si>
  <si>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</si>
  <si>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</si>
  <si>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</si>
  <si>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</si>
  <si>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</si>
  <si>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</si>
  <si>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</si>
  <si>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</si>
  <si>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</si>
  <si>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</si>
  <si>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</si>
  <si>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</si>
  <si>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</si>
  <si>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</si>
  <si>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</si>
  <si>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</si>
  <si>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</si>
  <si>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</si>
  <si>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</si>
  <si>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</si>
  <si>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</si>
  <si>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</si>
  <si>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</si>
  <si>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</si>
  <si>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</si>
  <si>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</si>
  <si>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</si>
  <si>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</si>
  <si>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</si>
  <si>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</si>
  <si>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</si>
  <si>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</si>
  <si>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</si>
  <si>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</si>
  <si>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</si>
  <si>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</si>
  <si>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</si>
  <si>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</si>
  <si>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</si>
  <si>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</si>
  <si>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</si>
  <si>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</si>
  <si>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</si>
  <si>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</si>
  <si>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</si>
  <si>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</si>
  <si>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</si>
  <si>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</si>
  <si>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</si>
  <si>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</si>
  <si>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</si>
  <si>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</si>
  <si>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</si>
  <si>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</si>
  <si>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</si>
  <si>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</si>
  <si>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</si>
  <si>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</si>
  <si>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</si>
  <si>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</si>
  <si>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</si>
  <si>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</si>
  <si>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</si>
  <si>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</si>
  <si>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</si>
  <si>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</si>
  <si>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</si>
  <si>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</si>
  <si>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</si>
  <si>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</si>
  <si>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</si>
  <si>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</si>
  <si>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</si>
  <si>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</si>
  <si>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</si>
  <si>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</si>
  <si>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</si>
  <si>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</si>
  <si>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</si>
  <si>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</si>
  <si>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</si>
  <si>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</si>
  <si>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</si>
  <si>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</si>
  <si>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</si>
  <si>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</si>
  <si>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</si>
  <si>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</si>
  <si>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</si>
  <si>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</si>
  <si>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</si>
  <si>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</si>
  <si>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</si>
  <si>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</si>
  <si>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</si>
  <si>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</si>
  <si>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</si>
  <si>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</si>
  <si>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</si>
  <si>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</si>
  <si>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</si>
  <si>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</si>
  <si>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</si>
  <si>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</si>
  <si>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</si>
  <si>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</si>
  <si>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</si>
  <si>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</si>
  <si>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</si>
  <si>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</si>
  <si>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</si>
  <si>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</si>
  <si>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</si>
  <si>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</si>
  <si>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</si>
  <si>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</si>
  <si>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</si>
  <si>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</si>
  <si>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</si>
  <si>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</si>
  <si>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</si>
  <si>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</si>
  <si>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</si>
  <si>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</si>
  <si>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</si>
  <si>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</si>
  <si>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</si>
  <si>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</si>
  <si>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</si>
  <si>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</si>
  <si>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</si>
  <si>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</si>
  <si>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</si>
  <si>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</si>
  <si>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</si>
  <si>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</si>
  <si>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</si>
  <si>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</si>
  <si>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</si>
  <si>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</si>
  <si>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</si>
  <si>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</si>
  <si>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</si>
  <si>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</si>
  <si>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</si>
  <si>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</si>
  <si>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</si>
  <si>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</si>
  <si>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</si>
  <si>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</si>
  <si>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</si>
  <si>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</si>
  <si>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</si>
  <si>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</si>
  <si>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</si>
  <si>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</si>
  <si>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</si>
  <si>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</si>
  <si>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</si>
  <si>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</si>
  <si>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</si>
  <si>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</si>
  <si>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</si>
  <si>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</si>
  <si>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</si>
  <si>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</si>
  <si>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</si>
  <si>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</si>
  <si>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</si>
  <si>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</si>
  <si>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</si>
  <si>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</si>
  <si>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</si>
  <si>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</si>
  <si>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</si>
  <si>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</si>
  <si>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</si>
  <si>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</si>
  <si>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</si>
  <si>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</si>
  <si>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</si>
  <si>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</si>
  <si>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</si>
  <si>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</si>
  <si>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</si>
  <si>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</si>
  <si>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</si>
  <si>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</si>
  <si>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</si>
  <si>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</si>
  <si>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</si>
  <si>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</si>
  <si>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</si>
  <si>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</si>
  <si>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</si>
  <si>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</si>
  <si>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</si>
  <si>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</si>
  <si>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</si>
  <si>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</si>
  <si>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</si>
  <si>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</si>
  <si>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</si>
  <si>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</si>
  <si>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</si>
  <si>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</si>
  <si>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</si>
  <si>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</si>
  <si>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</si>
  <si>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</si>
  <si>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</si>
  <si>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</si>
  <si>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</si>
  <si>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</si>
  <si>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</si>
  <si>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</si>
  <si>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</si>
  <si>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</si>
  <si>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</si>
  <si>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</si>
  <si>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</si>
  <si>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</si>
  <si>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</si>
  <si>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</si>
  <si>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</si>
  <si>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</si>
  <si>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</si>
  <si>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</si>
  <si>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</si>
  <si>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</si>
  <si>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</si>
  <si>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</si>
  <si>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</si>
  <si>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</si>
  <si>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</si>
  <si>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</si>
  <si>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</si>
  <si>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</si>
  <si>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</si>
  <si>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</si>
  <si>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</si>
  <si>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</si>
  <si>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</si>
  <si>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</si>
  <si>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</si>
  <si>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</si>
  <si>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</si>
  <si>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</si>
  <si>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</si>
  <si>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</si>
  <si>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</si>
  <si>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</si>
  <si>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</si>
  <si>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</si>
  <si>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</si>
  <si>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</si>
  <si>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</si>
  <si>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</si>
  <si>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</si>
  <si>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</si>
  <si>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</si>
  <si>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</si>
  <si>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</si>
  <si>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</si>
  <si>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</si>
  <si>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</si>
  <si>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</si>
  <si>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</si>
  <si>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</si>
  <si>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</si>
  <si>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</si>
  <si>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</si>
  <si>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</si>
  <si>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</si>
  <si>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</si>
  <si>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</si>
  <si>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</si>
  <si>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</si>
  <si>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</si>
  <si>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</si>
  <si>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</si>
  <si>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</si>
  <si>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</si>
  <si>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</si>
  <si>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</si>
  <si>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</si>
  <si>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</si>
  <si>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</si>
  <si>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</si>
  <si>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</si>
  <si>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</si>
  <si>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</si>
  <si>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</si>
  <si>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</si>
  <si>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</si>
  <si>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</si>
  <si>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</si>
  <si>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</si>
  <si>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</si>
  <si>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</si>
  <si>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</si>
  <si>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</si>
  <si>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</si>
  <si>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</si>
  <si>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</si>
  <si>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</si>
  <si>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</si>
  <si>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</si>
  <si>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</si>
  <si>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</si>
  <si>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</si>
  <si>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</si>
  <si>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</si>
  <si>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</si>
  <si>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</si>
  <si>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</si>
  <si>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</si>
  <si>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</si>
  <si>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</si>
  <si>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</si>
  <si>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</si>
  <si>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</si>
  <si>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</si>
  <si>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</si>
  <si>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</si>
  <si>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</si>
  <si>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</si>
  <si>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</si>
  <si>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</si>
  <si>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</si>
  <si>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</si>
  <si>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</si>
  <si>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</si>
  <si>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</si>
  <si>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</si>
  <si>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</si>
  <si>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</si>
  <si>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</si>
  <si>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</si>
  <si>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</si>
  <si>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</si>
  <si>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</si>
  <si>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</si>
  <si>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</si>
  <si>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</si>
  <si>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</si>
  <si>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</si>
  <si>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</si>
  <si>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</si>
  <si>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</si>
  <si>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</si>
  <si>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</si>
  <si>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</si>
  <si>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</si>
  <si>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</si>
  <si>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</si>
  <si>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</si>
  <si>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</si>
  <si>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</si>
  <si>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</si>
  <si>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</si>
  <si>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</si>
  <si>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</si>
  <si>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</si>
  <si>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</si>
  <si>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</si>
  <si>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</si>
  <si>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</si>
  <si>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</si>
  <si>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</si>
  <si>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</si>
  <si>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</si>
  <si>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</si>
  <si>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</si>
  <si>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</si>
  <si>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</si>
  <si>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</si>
  <si>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</si>
  <si>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</si>
  <si>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</si>
  <si>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</si>
  <si>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</si>
  <si>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</si>
  <si>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</si>
  <si>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</si>
  <si>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</si>
  <si>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</si>
  <si>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</si>
  <si>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</si>
  <si>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</si>
  <si>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</si>
  <si>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</si>
  <si>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</si>
  <si>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</si>
  <si>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</si>
  <si>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</si>
  <si>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</si>
  <si>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</si>
  <si>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</si>
  <si>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</si>
  <si>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</si>
  <si>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</si>
  <si>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</si>
  <si>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</si>
  <si>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</si>
  <si>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</si>
  <si>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</si>
  <si>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</si>
  <si>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</si>
  <si>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</si>
  <si>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</si>
  <si>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</si>
  <si>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</si>
  <si>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</si>
  <si>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</si>
  <si>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</si>
  <si>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</si>
  <si>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</si>
  <si>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</si>
  <si>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</si>
  <si>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</si>
  <si>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</si>
  <si>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</si>
  <si>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</si>
  <si>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</si>
  <si>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</si>
  <si>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</si>
  <si>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</si>
  <si>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</si>
  <si>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</si>
  <si>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</si>
  <si>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</si>
  <si>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</si>
  <si>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</si>
  <si>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</si>
  <si>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</si>
  <si>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</si>
  <si>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</si>
  <si>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</si>
  <si>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</si>
  <si>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</si>
  <si>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</si>
  <si>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</si>
  <si>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</si>
  <si>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</si>
  <si>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</si>
  <si>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</si>
  <si>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</si>
  <si>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</si>
  <si>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</si>
  <si>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</si>
  <si>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</si>
  <si>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</si>
  <si>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</si>
  <si>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</si>
  <si>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</si>
  <si>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</si>
  <si>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</si>
  <si>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</si>
  <si>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</si>
  <si>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</si>
  <si>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</si>
  <si>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</si>
  <si>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</si>
  <si>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</si>
  <si>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</si>
  <si>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</si>
  <si>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</si>
  <si>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</si>
  <si>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</si>
  <si>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</si>
  <si>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</si>
  <si>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</si>
  <si>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</si>
  <si>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</si>
  <si>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</si>
  <si>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</si>
  <si>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</si>
  <si>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</si>
  <si>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</si>
  <si>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</si>
  <si>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</si>
  <si>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</si>
  <si>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</si>
  <si>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</si>
  <si>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</si>
  <si>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</si>
  <si>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</si>
  <si>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</si>
  <si>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</si>
  <si>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</si>
  <si>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</si>
  <si>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</si>
  <si>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</si>
  <si>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</si>
  <si>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</si>
  <si>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</si>
  <si>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</si>
  <si>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</si>
  <si>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</si>
  <si>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</si>
  <si>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</si>
  <si>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</si>
  <si>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</si>
  <si>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</si>
  <si>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</si>
  <si>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</si>
  <si>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</si>
  <si>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</si>
  <si>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</si>
  <si>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</si>
  <si>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</si>
  <si>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</si>
  <si>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</si>
  <si>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</si>
  <si>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</si>
  <si>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</si>
  <si>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</si>
  <si>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</si>
  <si>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</si>
  <si>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</si>
  <si>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</si>
  <si>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</si>
  <si>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</si>
  <si>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</si>
  <si>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</si>
  <si>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</si>
  <si>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</si>
  <si>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</si>
  <si>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</si>
  <si>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</si>
  <si>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</si>
  <si>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</si>
  <si>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</si>
  <si>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</si>
  <si>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</si>
  <si>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</si>
  <si>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</si>
  <si>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</si>
  <si>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</si>
  <si>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</si>
  <si>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</si>
  <si>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</si>
  <si>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</si>
  <si>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</si>
  <si>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</si>
  <si>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</si>
  <si>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</si>
  <si>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</si>
  <si>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</si>
  <si>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</si>
  <si>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</si>
  <si>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</si>
  <si>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</si>
  <si>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</si>
  <si>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</si>
  <si>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</si>
  <si>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</si>
  <si>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</si>
  <si>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</si>
  <si>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</si>
  <si>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</si>
  <si>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</si>
  <si>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</si>
  <si>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</si>
  <si>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</si>
  <si>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</si>
  <si>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</si>
  <si>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</si>
  <si>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</si>
  <si>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</si>
  <si>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</si>
  <si>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</si>
  <si>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</si>
  <si>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</si>
  <si>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</si>
  <si>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</si>
  <si>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</si>
  <si>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</si>
  <si>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</si>
  <si>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</si>
  <si>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</si>
  <si>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</si>
  <si>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</si>
  <si>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</si>
  <si>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</si>
  <si>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</si>
  <si>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</si>
  <si>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</si>
  <si>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</si>
  <si>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</si>
  <si>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</si>
  <si>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</si>
  <si>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</si>
  <si>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</si>
  <si>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</si>
  <si>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</si>
  <si>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</si>
  <si>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</si>
  <si>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</si>
  <si>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</si>
  <si>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</si>
  <si>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</si>
  <si>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</si>
  <si>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</si>
  <si>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</si>
  <si>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</si>
  <si>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</si>
  <si>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</si>
  <si>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</si>
  <si>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</si>
  <si>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</si>
  <si>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</si>
  <si>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</si>
  <si>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</si>
  <si>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</si>
  <si>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</si>
  <si>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</si>
  <si>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</si>
  <si>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</si>
  <si>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</si>
  <si>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</si>
  <si>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</si>
  <si>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</si>
  <si>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</si>
  <si>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</si>
  <si>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</si>
  <si>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</si>
  <si>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</si>
  <si>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</si>
  <si>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</si>
  <si>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</si>
  <si>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</si>
  <si>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</si>
  <si>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</si>
  <si>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</si>
  <si>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</si>
  <si>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</si>
  <si>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</si>
  <si>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</si>
  <si>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</si>
  <si>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</si>
  <si>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</si>
  <si>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</si>
  <si>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</si>
  <si>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</si>
  <si>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</si>
  <si>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</si>
  <si>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</si>
  <si>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</si>
  <si>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</si>
  <si>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</si>
  <si>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</si>
  <si>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</si>
  <si>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</si>
  <si>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</si>
  <si>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</si>
  <si>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</si>
  <si>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</si>
  <si>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</si>
  <si>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</si>
  <si>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</si>
  <si>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</si>
  <si>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</si>
  <si>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</si>
  <si>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</si>
  <si>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</si>
  <si>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</si>
  <si>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</si>
  <si>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</si>
  <si>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</si>
  <si>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</si>
  <si>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</si>
  <si>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</si>
  <si>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</si>
  <si>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</si>
  <si>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</si>
  <si>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</si>
  <si>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</si>
  <si>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</si>
  <si>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</si>
  <si>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</si>
  <si>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</si>
  <si>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</si>
  <si>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</si>
  <si>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</si>
  <si>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</si>
  <si>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</si>
  <si>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</si>
  <si>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</si>
  <si>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</si>
  <si>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</si>
  <si>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</si>
  <si>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</si>
  <si>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</si>
  <si>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</si>
  <si>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</si>
  <si>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</si>
  <si>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</si>
  <si>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</si>
  <si>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</si>
  <si>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</si>
  <si>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</si>
  <si>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</si>
  <si>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</si>
  <si>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</si>
  <si>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</si>
  <si>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</si>
  <si>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</si>
  <si>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</si>
  <si>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</si>
  <si>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</si>
  <si>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</si>
  <si>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</si>
  <si>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</si>
  <si>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</si>
  <si>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</si>
  <si>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</si>
  <si>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</si>
  <si>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</si>
  <si>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</si>
  <si>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</si>
  <si>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</si>
  <si>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</si>
  <si>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</si>
  <si>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</si>
  <si>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</si>
  <si>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</si>
  <si>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</si>
  <si>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</si>
  <si>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</si>
  <si>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</si>
  <si>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</si>
  <si>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</si>
  <si>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</si>
  <si>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</si>
  <si>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</si>
  <si>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</si>
  <si>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</si>
  <si>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</si>
  <si>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</si>
  <si>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</si>
  <si>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</si>
  <si>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</si>
  <si>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</si>
  <si>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</si>
  <si>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</si>
  <si>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</si>
  <si>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</si>
  <si>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</si>
  <si>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</si>
  <si>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</si>
  <si>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</si>
  <si>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</si>
  <si>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</si>
  <si>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</si>
  <si>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</si>
  <si>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</si>
  <si>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</si>
  <si>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</si>
  <si>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</si>
  <si>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</si>
  <si>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</si>
  <si>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</si>
  <si>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</si>
  <si>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</si>
  <si>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</si>
  <si>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</si>
  <si>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</si>
  <si>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</si>
  <si>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</si>
  <si>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</si>
  <si>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</si>
  <si>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</si>
  <si>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</si>
  <si>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</si>
  <si>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</si>
  <si>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</si>
  <si>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</si>
  <si>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</si>
  <si>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</si>
  <si>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</si>
  <si>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</si>
  <si>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</si>
  <si>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</si>
  <si>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</si>
  <si>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</si>
  <si>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</si>
  <si>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</si>
  <si>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</si>
  <si>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</si>
  <si>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</si>
  <si>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</si>
  <si>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</si>
  <si>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</si>
  <si>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</si>
  <si>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</si>
  <si>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</si>
  <si>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</si>
  <si>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</si>
  <si>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</si>
  <si>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</si>
  <si>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</si>
  <si>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</si>
  <si>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</si>
  <si>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</si>
  <si>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</si>
  <si>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</si>
  <si>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</si>
  <si>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</si>
  <si>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</si>
  <si>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</si>
  <si>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</si>
  <si>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</si>
  <si>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</si>
  <si>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</si>
  <si>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</si>
  <si>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</si>
  <si>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</si>
  <si>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</si>
  <si>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</si>
  <si>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</si>
  <si>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</si>
  <si>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</si>
  <si>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</si>
  <si>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</si>
  <si>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</si>
  <si>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</si>
  <si>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</si>
  <si>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</si>
  <si>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</si>
  <si>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</si>
  <si>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</si>
  <si>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</si>
  <si>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</si>
  <si>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</si>
  <si>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</si>
  <si>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</si>
  <si>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</si>
  <si>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</si>
  <si>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</si>
  <si>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</si>
  <si>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</si>
  <si>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</si>
  <si>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</si>
  <si>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</si>
  <si>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</si>
  <si>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</si>
  <si>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</si>
  <si>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</si>
  <si>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</si>
  <si>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</si>
  <si>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</si>
  <si>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</si>
  <si>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</si>
  <si>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</si>
  <si>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</si>
  <si>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</si>
  <si>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</si>
  <si>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</si>
  <si>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</si>
  <si>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</si>
  <si>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</si>
  <si>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</si>
  <si>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</si>
  <si>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</si>
  <si>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</si>
  <si>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</si>
  <si>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</si>
  <si>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</si>
  <si>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</si>
  <si>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</si>
  <si>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</si>
  <si>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</si>
  <si>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</si>
  <si>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</si>
  <si>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</si>
  <si>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</si>
  <si>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</si>
  <si>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</si>
  <si>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</si>
  <si>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</si>
  <si>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</si>
  <si>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</si>
  <si>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</si>
  <si>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</si>
  <si>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</si>
  <si>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</si>
  <si>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</si>
  <si>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</si>
  <si>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</si>
  <si>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</si>
  <si>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</si>
  <si>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</si>
  <si>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</si>
  <si>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</si>
  <si>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</si>
  <si>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</si>
  <si>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</si>
  <si>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</si>
  <si>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</si>
  <si>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</si>
  <si>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</si>
  <si>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</si>
  <si>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</si>
  <si>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</si>
  <si>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</si>
  <si>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</si>
  <si>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</si>
  <si>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</si>
  <si>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</si>
  <si>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</si>
  <si>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</si>
  <si>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</si>
  <si>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</si>
  <si>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</si>
  <si>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</si>
  <si>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</si>
  <si>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</si>
  <si>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</si>
  <si>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</si>
  <si>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</si>
  <si>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</si>
  <si>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</si>
  <si>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</si>
  <si>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</si>
  <si>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</si>
  <si>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</si>
  <si>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</si>
  <si>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</si>
  <si>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</si>
  <si>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</si>
  <si>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</si>
  <si>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</si>
  <si>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</si>
  <si>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</si>
  <si>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</si>
  <si>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</si>
  <si>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</si>
  <si>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</si>
  <si>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</si>
  <si>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</si>
  <si>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</si>
  <si>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</si>
  <si>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</si>
  <si>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</si>
  <si>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</si>
  <si>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</si>
  <si>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</si>
  <si>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</si>
  <si>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</si>
  <si>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</si>
  <si>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</si>
  <si>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</si>
  <si>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</si>
  <si>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</si>
  <si>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</si>
  <si>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</si>
  <si>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</si>
  <si>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</si>
  <si>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</si>
  <si>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</si>
  <si>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</si>
  <si>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</si>
  <si>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</si>
  <si>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</si>
  <si>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</si>
  <si>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</si>
  <si>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</si>
  <si>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</si>
  <si>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</si>
  <si>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</si>
  <si>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</si>
  <si>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</si>
  <si>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</si>
  <si>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</si>
  <si>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</si>
  <si>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</si>
  <si>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</si>
  <si>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</si>
  <si>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</si>
  <si>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</si>
  <si>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</si>
  <si>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</si>
  <si>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</si>
  <si>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</si>
  <si>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</si>
  <si>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</si>
  <si>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</si>
  <si>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</si>
  <si>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</si>
  <si>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</si>
  <si>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</si>
  <si>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</si>
  <si>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</si>
  <si>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</si>
  <si>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</si>
  <si>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</si>
  <si>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</si>
  <si>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</si>
  <si>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</si>
  <si>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</si>
  <si>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</si>
  <si>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</si>
  <si>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</si>
  <si>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</si>
  <si>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</si>
  <si>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</si>
  <si>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</si>
  <si>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</si>
  <si>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</si>
  <si>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</si>
  <si>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</si>
  <si>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</si>
  <si>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</si>
  <si>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</si>
  <si>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</si>
  <si>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</si>
  <si>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</si>
  <si>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</si>
  <si>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</si>
  <si>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</si>
  <si>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</si>
  <si>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</si>
  <si>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</si>
  <si>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</si>
  <si>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</si>
  <si>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</si>
  <si>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</si>
  <si>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</si>
  <si>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</si>
  <si>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</si>
  <si>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</si>
  <si>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</si>
  <si>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</si>
  <si>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</si>
  <si>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</si>
  <si>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</si>
  <si>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</si>
  <si>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</si>
  <si>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</si>
  <si>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</si>
  <si>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</si>
  <si>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</si>
  <si>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</si>
  <si>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</si>
  <si>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</si>
  <si>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</si>
  <si>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</si>
  <si>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</si>
  <si>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</si>
  <si>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</si>
  <si>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</si>
  <si>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</si>
  <si>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</si>
  <si>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</si>
  <si>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</si>
  <si>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</si>
  <si>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</si>
  <si>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</si>
  <si>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</si>
  <si>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</si>
  <si>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</si>
  <si>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</si>
  <si>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</si>
  <si>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</si>
  <si>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</si>
  <si>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</si>
  <si>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</si>
  <si>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</si>
  <si>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</si>
  <si>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</si>
  <si>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</si>
  <si>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</si>
  <si>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</si>
  <si>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</si>
  <si>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</si>
  <si>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</si>
  <si>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</si>
  <si>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</si>
  <si>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</si>
  <si>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</si>
  <si>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</si>
  <si>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</si>
  <si>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</si>
  <si>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</si>
  <si>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</si>
  <si>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</si>
  <si>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</si>
  <si>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</si>
  <si>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</si>
  <si>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</si>
  <si>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</si>
  <si>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</si>
  <si>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</si>
  <si>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</si>
  <si>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</si>
  <si>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</si>
  <si>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</si>
  <si>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</si>
  <si>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</si>
  <si>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</si>
  <si>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</si>
  <si>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</si>
  <si>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</si>
  <si>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</si>
  <si>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</si>
  <si>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</si>
  <si>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</si>
  <si>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</si>
  <si>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</si>
  <si>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</si>
  <si>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</si>
  <si>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</si>
  <si>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</si>
  <si>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</si>
  <si>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</si>
  <si>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</si>
  <si>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</si>
  <si>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</si>
  <si>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</si>
  <si>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</si>
  <si>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</si>
  <si>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</si>
  <si>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</si>
  <si>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</si>
  <si>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</si>
  <si>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</si>
  <si>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</si>
  <si>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</si>
  <si>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</si>
  <si>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</si>
  <si>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</si>
  <si>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</si>
  <si>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</si>
  <si>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</si>
  <si>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</si>
  <si>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</si>
  <si>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</si>
  <si>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</si>
  <si>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</si>
  <si>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</si>
  <si>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</si>
  <si>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</si>
  <si>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</si>
  <si>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</si>
  <si>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</si>
  <si>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</si>
  <si>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</si>
  <si>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</si>
  <si>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</si>
  <si>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</si>
  <si>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</si>
  <si>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</si>
  <si>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</si>
  <si>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</si>
  <si>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</si>
  <si>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</si>
  <si>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</si>
  <si>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</si>
  <si>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</si>
  <si>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</si>
  <si>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</si>
  <si>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</si>
  <si>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</si>
  <si>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</si>
  <si>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</si>
  <si>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</si>
  <si>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</si>
  <si>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</si>
  <si>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</si>
  <si>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</si>
  <si>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</si>
  <si>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</si>
  <si>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</si>
  <si>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</si>
  <si>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</si>
  <si>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</si>
  <si>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</si>
  <si>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</si>
  <si>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</si>
  <si>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</si>
  <si>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</si>
  <si>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</si>
  <si>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</si>
  <si>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</si>
  <si>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</si>
  <si>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</si>
  <si>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</si>
  <si>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</si>
  <si>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</si>
  <si>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</si>
  <si>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</si>
  <si>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</si>
  <si>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</si>
  <si>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</si>
  <si>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</si>
  <si>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</si>
  <si>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</si>
  <si>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</si>
  <si>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</si>
  <si>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</si>
  <si>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</si>
  <si>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</si>
  <si>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</si>
  <si>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</si>
  <si>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</si>
  <si>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</si>
  <si>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</si>
  <si>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</si>
  <si>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</si>
  <si>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</si>
  <si>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</si>
  <si>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</si>
  <si>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</si>
  <si>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</si>
  <si>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</si>
  <si>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</si>
  <si>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</si>
  <si>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</si>
  <si>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</si>
  <si>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</si>
  <si>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</si>
  <si>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</si>
  <si>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</si>
  <si>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</si>
  <si>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</si>
  <si>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</si>
  <si>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</si>
  <si>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</si>
  <si>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</si>
  <si>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</si>
  <si>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</si>
  <si>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</si>
  <si>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</si>
  <si>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</si>
  <si>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</si>
  <si>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</si>
  <si>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</si>
  <si>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</si>
  <si>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</si>
  <si>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</si>
  <si>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</si>
  <si>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</si>
  <si>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</si>
  <si>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</si>
  <si>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</si>
  <si>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</si>
  <si>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</si>
  <si>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</si>
  <si>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</si>
  <si>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</si>
  <si>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</si>
  <si>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</si>
  <si>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</si>
  <si>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</si>
  <si>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</si>
  <si>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</si>
  <si>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</si>
  <si>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</si>
  <si>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</si>
  <si>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</si>
  <si>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</si>
  <si>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</si>
  <si>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</si>
  <si>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</si>
  <si>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</si>
  <si>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</si>
  <si>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</si>
  <si>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</si>
  <si>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</si>
  <si>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</si>
  <si>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</si>
  <si>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</si>
  <si>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</si>
  <si>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</si>
  <si>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</si>
  <si>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</si>
  <si>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</si>
  <si>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</si>
  <si>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</si>
  <si>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</si>
  <si>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</si>
  <si>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</si>
  <si>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</si>
  <si>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</si>
  <si>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</si>
  <si>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</si>
  <si>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</si>
  <si>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</si>
  <si>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</si>
  <si>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</si>
  <si>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</si>
  <si>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</si>
  <si>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</si>
  <si>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</si>
  <si>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</si>
  <si>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</si>
  <si>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</si>
  <si>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</si>
  <si>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</si>
  <si>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</si>
  <si>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</si>
  <si>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</si>
  <si>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</si>
  <si>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</si>
  <si>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</si>
  <si>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</si>
  <si>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</si>
  <si>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</si>
  <si>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</si>
  <si>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</si>
  <si>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</si>
  <si>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</si>
  <si>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</si>
  <si>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</si>
  <si>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</si>
  <si>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</si>
  <si>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</si>
  <si>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</si>
  <si>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</si>
  <si>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</si>
  <si>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</si>
  <si>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</si>
  <si>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</si>
  <si>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</si>
  <si>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</si>
  <si>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</si>
  <si>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</si>
  <si>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</si>
  <si>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</si>
  <si>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</si>
  <si>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</si>
  <si>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</si>
  <si>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</si>
  <si>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</si>
  <si>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</si>
  <si>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</si>
  <si>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</si>
  <si>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</si>
  <si>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</si>
  <si>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</si>
  <si>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</si>
  <si>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</si>
  <si>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</si>
  <si>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</si>
  <si>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</si>
  <si>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</si>
  <si>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</si>
  <si>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</si>
  <si>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</si>
  <si>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</si>
  <si>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</si>
  <si>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</si>
  <si>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</si>
  <si>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</si>
  <si>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</si>
  <si>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</si>
  <si>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</si>
  <si>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</si>
  <si>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</si>
  <si>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</si>
  <si>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</si>
  <si>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</si>
  <si>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</si>
  <si>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</si>
  <si>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</si>
  <si>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</si>
  <si>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</si>
  <si>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</si>
  <si>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</si>
  <si>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</si>
  <si>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</si>
  <si>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</si>
  <si>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</si>
  <si>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</si>
  <si>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</si>
  <si>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</si>
  <si>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</si>
  <si>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</si>
  <si>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</si>
  <si>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</si>
  <si>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</si>
  <si>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</si>
  <si>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</si>
  <si>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</si>
  <si>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</si>
  <si>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</si>
  <si>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</si>
  <si>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</si>
  <si>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</si>
  <si>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</si>
  <si>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</si>
  <si>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</si>
  <si>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</si>
  <si>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</si>
  <si>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</si>
  <si>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</si>
  <si>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</si>
  <si>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</si>
  <si>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</si>
  <si>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</si>
  <si>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</si>
  <si>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</si>
  <si>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</si>
  <si>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</si>
  <si>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</si>
  <si>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</si>
  <si>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</si>
  <si>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</si>
  <si>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</si>
  <si>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</si>
  <si>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</si>
  <si>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</si>
  <si>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</si>
  <si>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</si>
  <si>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</si>
  <si>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</si>
  <si>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</si>
  <si>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</si>
  <si>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</si>
  <si>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</si>
  <si>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</si>
  <si>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</si>
  <si>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</si>
  <si>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</si>
  <si>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</si>
  <si>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</si>
  <si>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</si>
  <si>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</si>
  <si>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</si>
  <si>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</si>
  <si>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</si>
  <si>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</si>
  <si>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</si>
  <si>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</si>
  <si>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</si>
  <si>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</si>
  <si>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</si>
  <si>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</si>
  <si>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</si>
  <si>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</si>
  <si>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</si>
  <si>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</si>
  <si>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</si>
  <si>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</si>
  <si>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</si>
  <si>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</si>
  <si>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</si>
  <si>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</si>
  <si>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</si>
  <si>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</si>
  <si>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</si>
  <si>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</si>
  <si>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</si>
  <si>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</si>
  <si>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</si>
  <si>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</si>
  <si>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</si>
  <si>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</si>
  <si>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</si>
  <si>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</si>
  <si>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</si>
  <si>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</si>
  <si>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</si>
  <si>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</si>
  <si>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</si>
  <si>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</si>
  <si>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</si>
  <si>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</si>
  <si>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</si>
  <si>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</si>
  <si>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</si>
  <si>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</si>
  <si>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</si>
  <si>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</si>
  <si>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</si>
  <si>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</si>
  <si>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</si>
  <si>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</si>
  <si>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</si>
  <si>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</si>
  <si>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</si>
  <si>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</si>
  <si>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</si>
  <si>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</si>
  <si>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</si>
  <si>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</si>
  <si>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</si>
  <si>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</si>
  <si>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</si>
  <si>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</si>
  <si>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</si>
  <si>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</si>
  <si>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</si>
  <si>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</si>
  <si>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</si>
  <si>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</si>
  <si>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</si>
  <si>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</si>
  <si>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</si>
  <si>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</si>
  <si>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</si>
  <si>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</si>
  <si>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</si>
  <si>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</si>
  <si>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</si>
  <si>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</si>
  <si>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</si>
  <si>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</si>
  <si>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</si>
  <si>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</si>
  <si>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</si>
  <si>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</si>
  <si>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</si>
  <si>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</si>
  <si>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</si>
  <si>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</si>
  <si>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</si>
  <si>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</si>
  <si>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</si>
  <si>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</si>
  <si>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</si>
  <si>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</si>
  <si>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</si>
  <si>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</si>
  <si>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</si>
  <si>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</si>
  <si>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</si>
  <si>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</si>
  <si>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</si>
  <si>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</si>
  <si>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</si>
  <si>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</si>
  <si>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</si>
  <si>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</si>
  <si>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</si>
  <si>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</si>
  <si>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</si>
  <si>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</si>
  <si>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</si>
  <si>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</si>
  <si>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</si>
  <si>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</si>
  <si>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</si>
  <si>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</si>
  <si>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</si>
  <si>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</si>
  <si>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</si>
  <si>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</si>
  <si>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</si>
  <si>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</si>
  <si>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</si>
  <si>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</si>
  <si>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</si>
  <si>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</si>
  <si>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</si>
  <si>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</si>
  <si>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</si>
  <si>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</si>
  <si>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</si>
  <si>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</si>
  <si>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</si>
  <si>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</si>
  <si>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</si>
  <si>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</si>
  <si>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</si>
  <si>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</si>
  <si>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</si>
  <si>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</si>
  <si>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</si>
  <si>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</si>
  <si>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</si>
  <si>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</si>
  <si>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</si>
  <si>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</si>
  <si>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</si>
  <si>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</si>
  <si>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</si>
  <si>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</si>
  <si>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</si>
  <si>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</si>
  <si>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</si>
  <si>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</si>
  <si>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</si>
  <si>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</si>
  <si>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</si>
  <si>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</si>
  <si>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</si>
  <si>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</si>
  <si>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</si>
  <si>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</si>
  <si>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</si>
  <si>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</si>
  <si>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</si>
  <si>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</si>
  <si>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</si>
  <si>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</si>
  <si>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</si>
  <si>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</si>
  <si>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</si>
  <si>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</si>
  <si>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</si>
  <si>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</si>
  <si>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</si>
  <si>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</si>
  <si>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</si>
  <si>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</si>
  <si>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</si>
  <si>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</si>
  <si>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</si>
  <si>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</si>
  <si>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</si>
  <si>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</si>
  <si>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</si>
  <si>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</si>
  <si>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</si>
  <si>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</si>
  <si>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</si>
  <si>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</si>
  <si>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</si>
  <si>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</si>
  <si>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</si>
  <si>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</si>
  <si>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</si>
  <si>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</si>
  <si>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</si>
  <si>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</si>
  <si>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</si>
  <si>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</si>
  <si>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</si>
  <si>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</si>
  <si>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</si>
  <si>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</si>
  <si>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</si>
  <si>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</si>
  <si>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</si>
  <si>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</si>
  <si>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</si>
  <si>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</si>
  <si>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</si>
  <si>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</si>
  <si>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</si>
  <si>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</si>
  <si>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</si>
  <si>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</si>
  <si>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</si>
  <si>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</si>
  <si>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</si>
  <si>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</si>
  <si>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</si>
  <si>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</si>
  <si>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</si>
  <si>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</si>
  <si>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</si>
  <si>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</si>
  <si>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</si>
  <si>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</si>
  <si>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</si>
  <si>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</si>
  <si>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</si>
  <si>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</si>
  <si>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</si>
  <si>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</si>
  <si>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</si>
  <si>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</si>
  <si>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</si>
  <si>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</si>
  <si>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</si>
  <si>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</si>
  <si>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</si>
  <si>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</si>
  <si>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</si>
  <si>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</si>
  <si>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</si>
  <si>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</si>
  <si>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</si>
  <si>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</si>
  <si>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</si>
  <si>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</si>
  <si>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</si>
  <si>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</si>
  <si>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</si>
  <si>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</si>
  <si>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</si>
  <si>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</si>
  <si>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</si>
  <si>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</si>
  <si>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</si>
  <si>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</si>
  <si>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</si>
  <si>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</si>
  <si>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</si>
  <si>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</si>
  <si>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</si>
  <si>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</si>
  <si>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</si>
  <si>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</si>
  <si>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</si>
  <si>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</si>
  <si>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</si>
  <si>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</si>
  <si>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</si>
  <si>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</si>
  <si>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</si>
  <si>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</si>
  <si>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</si>
  <si>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</si>
  <si>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</si>
  <si>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</si>
  <si>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</si>
  <si>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</si>
  <si>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</si>
  <si>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</si>
  <si>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</si>
  <si>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</si>
  <si>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</si>
  <si>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</si>
  <si>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</si>
  <si>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</si>
  <si>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</si>
  <si>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</si>
  <si>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</si>
  <si>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</si>
  <si>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</si>
  <si>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</si>
  <si>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</si>
  <si>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</si>
  <si>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</si>
  <si>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</si>
  <si>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</si>
  <si>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</si>
  <si>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</si>
  <si>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</si>
  <si>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</si>
  <si>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</si>
  <si>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</si>
  <si>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</si>
  <si>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</si>
  <si>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</si>
  <si>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</si>
  <si>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</si>
  <si>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</si>
  <si>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</si>
  <si>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</si>
  <si>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</si>
  <si>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</si>
  <si>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</si>
  <si>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</si>
  <si>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</si>
  <si>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</si>
  <si>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</si>
  <si>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</si>
  <si>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</si>
  <si>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</si>
  <si>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</si>
  <si>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</si>
  <si>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</si>
  <si>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</si>
  <si>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</si>
  <si>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</si>
  <si>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</si>
  <si>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</si>
  <si>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</si>
  <si>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</si>
  <si>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</si>
  <si>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</si>
  <si>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</si>
  <si>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</si>
  <si>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</si>
  <si>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</si>
  <si>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</si>
  <si>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</si>
  <si>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</si>
  <si>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</si>
  <si>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</si>
  <si>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</si>
  <si>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</si>
  <si>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</si>
  <si>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</si>
  <si>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</si>
  <si>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</si>
  <si>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</si>
  <si>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</si>
  <si>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</si>
  <si>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</si>
  <si>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</si>
  <si>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</si>
  <si>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</si>
  <si>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</si>
  <si>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</si>
  <si>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</si>
  <si>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</si>
  <si>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</si>
  <si>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</si>
  <si>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</si>
  <si>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</si>
  <si>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</si>
  <si>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</si>
  <si>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</si>
  <si>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</si>
  <si>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</si>
  <si>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</si>
  <si>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</si>
  <si>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</si>
  <si>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</si>
  <si>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</si>
  <si>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</si>
  <si>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</si>
  <si>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</si>
  <si>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</si>
  <si>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</si>
  <si>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</si>
  <si>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</si>
  <si>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</si>
  <si>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</si>
  <si>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</si>
  <si>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</si>
  <si>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</si>
  <si>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</si>
  <si>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</si>
  <si>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</si>
  <si>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</si>
  <si>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</si>
  <si>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</si>
  <si>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</si>
  <si>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</si>
  <si>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</si>
  <si>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</si>
  <si>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</si>
  <si>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</si>
  <si>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</si>
  <si>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</si>
  <si>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</si>
  <si>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</si>
  <si>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</si>
  <si>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</si>
  <si>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</si>
  <si>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</si>
  <si>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</si>
  <si>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</si>
  <si>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</si>
  <si>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</si>
  <si>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</si>
  <si>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</si>
  <si>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</si>
  <si>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</si>
  <si>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</si>
  <si>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</si>
  <si>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</si>
  <si>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</si>
  <si>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</si>
  <si>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</si>
  <si>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</si>
  <si>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</si>
  <si>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</si>
  <si>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</si>
  <si>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</si>
  <si>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</si>
  <si>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</si>
  <si>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</si>
  <si>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</si>
  <si>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</si>
  <si>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</si>
  <si>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</si>
  <si>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</si>
  <si>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</si>
  <si>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</si>
  <si>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</si>
  <si>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</si>
  <si>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</si>
  <si>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</si>
  <si>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</si>
  <si>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</si>
  <si>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</si>
  <si>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</si>
  <si>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</si>
  <si>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</si>
  <si>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</si>
  <si>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</si>
  <si>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</si>
  <si>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</si>
  <si>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</si>
  <si>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</si>
  <si>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</si>
  <si>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</si>
  <si>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</si>
  <si>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</si>
  <si>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</si>
  <si>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</si>
  <si>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</si>
  <si>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</si>
  <si>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</si>
  <si>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</si>
  <si>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</si>
  <si>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</si>
  <si>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</si>
  <si>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</si>
  <si>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</si>
  <si>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</si>
  <si>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</si>
  <si>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</si>
  <si>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</si>
  <si>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</si>
  <si>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</si>
  <si>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</si>
  <si>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</si>
  <si>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</si>
  <si>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</si>
  <si>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</si>
  <si>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</si>
  <si>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</si>
  <si>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</si>
  <si>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</si>
  <si>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</si>
  <si>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</si>
  <si>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</si>
  <si>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</si>
  <si>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</si>
  <si>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</si>
  <si>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</si>
  <si>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</si>
  <si>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</si>
  <si>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</si>
  <si>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</si>
  <si>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</si>
  <si>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</si>
  <si>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</si>
  <si>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</si>
  <si>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</si>
  <si>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</si>
  <si>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</si>
  <si>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</si>
  <si>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</si>
  <si>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</si>
  <si>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</si>
  <si>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</si>
  <si>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</si>
  <si>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</si>
  <si>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</si>
  <si>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</si>
  <si>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</si>
  <si>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</si>
  <si>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</si>
  <si>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</si>
  <si>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</si>
  <si>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</si>
  <si>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</si>
  <si>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</si>
  <si>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</si>
  <si>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</si>
  <si>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</si>
  <si>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</si>
  <si>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</si>
  <si>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</si>
  <si>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</si>
  <si>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</si>
  <si>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</si>
  <si>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</si>
  <si>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</si>
  <si>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</si>
  <si>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</si>
  <si>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</si>
  <si>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</si>
  <si>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</si>
  <si>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</si>
  <si>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</si>
  <si>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</si>
  <si>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</si>
  <si>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</si>
  <si>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</si>
  <si>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</si>
  <si>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</si>
  <si>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</si>
  <si>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</si>
  <si>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</si>
  <si>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</si>
  <si>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</si>
  <si>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</si>
  <si>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</si>
  <si>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</si>
  <si>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</si>
  <si>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</si>
  <si>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</si>
  <si>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</si>
  <si>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</si>
  <si>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</si>
  <si>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</si>
  <si>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</si>
  <si>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</si>
  <si>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</si>
  <si>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</si>
  <si>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</si>
  <si>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</si>
  <si>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</si>
  <si>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</si>
  <si>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</si>
  <si>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</si>
  <si>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</si>
  <si>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</si>
  <si>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</si>
  <si>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</si>
  <si>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</si>
  <si>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</si>
  <si>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</si>
  <si>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</si>
  <si>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</si>
  <si>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</si>
  <si>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</si>
  <si>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</si>
  <si>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</si>
  <si>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</si>
  <si>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</si>
  <si>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</si>
  <si>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</si>
  <si>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</si>
  <si>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</si>
  <si>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</si>
  <si>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</si>
  <si>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</si>
  <si>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</si>
  <si>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</si>
  <si>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</si>
  <si>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</si>
  <si>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</si>
  <si>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</si>
  <si>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</si>
  <si>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</si>
  <si>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</si>
  <si>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</si>
  <si>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</si>
  <si>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</si>
  <si>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</si>
  <si>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</si>
  <si>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</si>
  <si>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</si>
  <si>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</si>
  <si>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</si>
  <si>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</si>
  <si>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</si>
  <si>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</si>
  <si>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</si>
  <si>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</si>
  <si>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</si>
  <si>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</si>
  <si>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</si>
  <si>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</si>
  <si>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</si>
  <si>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</si>
  <si>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</si>
  <si>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</si>
  <si>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</si>
  <si>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</si>
  <si>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</si>
  <si>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</si>
  <si>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</si>
  <si>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</si>
  <si>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</si>
  <si>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</si>
  <si>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</si>
  <si>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</si>
  <si>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</si>
  <si>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</si>
  <si>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</si>
  <si>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</si>
  <si>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</si>
  <si>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</si>
  <si>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</si>
  <si>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</si>
  <si>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</si>
  <si>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</si>
  <si>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</si>
  <si>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</si>
  <si>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</si>
  <si>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</si>
  <si>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</si>
  <si>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</si>
  <si>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</si>
  <si>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</si>
  <si>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</si>
  <si>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</si>
  <si>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</si>
  <si>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</si>
  <si>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</si>
  <si>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</si>
  <si>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</si>
  <si>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</si>
  <si>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</si>
  <si>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</si>
  <si>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</si>
  <si>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</si>
  <si>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</si>
  <si>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</si>
  <si>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</si>
  <si>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</si>
  <si>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</si>
  <si>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</si>
  <si>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</si>
  <si>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</si>
  <si>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</si>
  <si>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</si>
  <si>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</si>
  <si>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</si>
  <si>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</si>
  <si>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</si>
  <si>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</si>
  <si>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</si>
  <si>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</si>
  <si>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</si>
  <si>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</si>
  <si>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</si>
  <si>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</si>
  <si>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</si>
  <si>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</si>
  <si>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</si>
  <si>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</si>
  <si>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</si>
  <si>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</si>
  <si>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</si>
  <si>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</si>
  <si>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</si>
  <si>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</si>
  <si>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</si>
  <si>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</si>
  <si>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</si>
  <si>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</si>
  <si>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</si>
  <si>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</si>
  <si>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</si>
  <si>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</si>
  <si>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</si>
  <si>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</si>
  <si>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</si>
  <si>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</si>
  <si>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</si>
  <si>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</si>
  <si>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</si>
  <si>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</si>
  <si>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</si>
  <si>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</si>
  <si>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</si>
  <si>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</si>
  <si>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</si>
  <si>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</si>
  <si>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</si>
  <si>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</si>
  <si>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</si>
  <si>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</si>
  <si>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</si>
  <si>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</si>
  <si>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</si>
  <si>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</si>
  <si>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</si>
  <si>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</si>
  <si>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</si>
  <si>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</si>
  <si>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</si>
  <si>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</si>
  <si>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</si>
  <si>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</si>
  <si>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</si>
  <si>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</si>
  <si>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</si>
  <si>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</si>
  <si>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</si>
  <si>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</si>
  <si>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</si>
  <si>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</si>
  <si>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</si>
  <si>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</si>
  <si>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</si>
  <si>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</si>
  <si>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</si>
  <si>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</si>
  <si>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</si>
  <si>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</si>
  <si>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</si>
  <si>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</si>
  <si>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</si>
  <si>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</si>
  <si>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</si>
  <si>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</si>
  <si>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</si>
  <si>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</si>
  <si>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</si>
  <si>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</si>
  <si>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</si>
  <si>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</si>
  <si>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</si>
  <si>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</si>
  <si>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</si>
  <si>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</si>
  <si>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</si>
  <si>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</si>
  <si>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</si>
  <si>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</si>
  <si>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</si>
  <si>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</si>
  <si>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</si>
  <si>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</si>
  <si>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</si>
  <si>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</si>
  <si>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</si>
  <si>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</si>
  <si>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</si>
  <si>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</si>
  <si>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</si>
  <si>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</si>
  <si>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</si>
  <si>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</si>
  <si>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</si>
  <si>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</si>
  <si>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</si>
  <si>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</si>
  <si>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</si>
  <si>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</si>
  <si>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</si>
  <si>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</si>
  <si>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</si>
  <si>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</si>
  <si>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</si>
  <si>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</si>
  <si>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</si>
  <si>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</si>
  <si>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</si>
  <si>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</si>
  <si>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</si>
  <si>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</si>
  <si>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</si>
  <si>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</si>
  <si>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</si>
  <si>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</si>
  <si>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</si>
  <si>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</si>
  <si>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</si>
  <si>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</si>
  <si>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</si>
  <si>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</si>
  <si>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</si>
  <si>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</si>
  <si>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</si>
  <si>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</si>
  <si>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</si>
  <si>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</si>
  <si>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</si>
  <si>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</si>
  <si>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</si>
  <si>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</si>
  <si>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</si>
  <si>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</si>
  <si>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</si>
  <si>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</si>
  <si>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</si>
  <si>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</si>
  <si>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</si>
  <si>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</si>
  <si>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</si>
  <si>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</si>
  <si>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</si>
  <si>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</si>
  <si>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</si>
  <si>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</si>
  <si>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</si>
  <si>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</si>
  <si>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</si>
  <si>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</si>
  <si>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</si>
  <si>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</si>
  <si>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</si>
  <si>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</si>
  <si>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</si>
  <si>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</si>
  <si>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</si>
  <si>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</si>
  <si>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</si>
  <si>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</si>
  <si>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</si>
  <si>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</si>
  <si>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</si>
  <si>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</si>
  <si>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</si>
  <si>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</si>
  <si>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</si>
  <si>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</si>
  <si>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</si>
  <si>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</si>
  <si>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</si>
  <si>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</si>
  <si>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</si>
  <si>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</si>
  <si>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</si>
  <si>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</si>
  <si>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</si>
  <si>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</si>
  <si>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</si>
  <si>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</si>
  <si>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</si>
  <si>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</si>
  <si>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</si>
  <si>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</si>
  <si>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</si>
  <si>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</si>
  <si>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</si>
  <si>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</si>
  <si>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</si>
  <si>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</si>
  <si>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</si>
  <si>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</si>
  <si>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</si>
  <si>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</si>
  <si>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</si>
  <si>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</si>
  <si>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</si>
  <si>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</si>
  <si>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</si>
  <si>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</si>
  <si>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</si>
  <si>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</si>
  <si>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</si>
  <si>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</si>
  <si>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</si>
  <si>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</si>
  <si>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</si>
  <si>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</si>
  <si>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</si>
  <si>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</si>
  <si>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</si>
  <si>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</si>
  <si>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</si>
  <si>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</si>
  <si>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</si>
  <si>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</si>
  <si>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</si>
  <si>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</si>
  <si>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</si>
  <si>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</si>
  <si>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</si>
  <si>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</si>
  <si>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</si>
  <si>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</si>
  <si>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</si>
  <si>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</si>
  <si>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</si>
  <si>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</si>
  <si>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</si>
  <si>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</si>
  <si>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</si>
  <si>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</si>
  <si>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</si>
  <si>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</si>
  <si>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</si>
  <si>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</si>
  <si>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</si>
  <si>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</si>
  <si>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</si>
  <si>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</si>
  <si>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</si>
  <si>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</si>
  <si>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</si>
  <si>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</si>
  <si>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</si>
  <si>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</si>
  <si>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</si>
  <si>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</si>
  <si>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</si>
  <si>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</si>
  <si>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</si>
  <si>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</si>
  <si>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</si>
  <si>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</si>
  <si>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</si>
  <si>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</si>
  <si>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</si>
  <si>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</si>
  <si>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</si>
  <si>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</si>
  <si>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</si>
  <si>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</si>
  <si>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</si>
  <si>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</si>
  <si>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</si>
  <si>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</si>
  <si>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</si>
  <si>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</si>
  <si>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</si>
  <si>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</si>
  <si>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</si>
  <si>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</si>
  <si>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</si>
  <si>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</si>
  <si>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</si>
  <si>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</si>
  <si>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</si>
  <si>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</si>
  <si>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</si>
  <si>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</si>
  <si>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</si>
  <si>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</si>
  <si>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</si>
  <si>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</si>
  <si>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</si>
  <si>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</si>
  <si>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</si>
  <si>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</si>
  <si>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</si>
  <si>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</si>
  <si>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</si>
  <si>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</si>
  <si>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</si>
  <si>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</si>
  <si>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</si>
  <si>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</si>
  <si>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</si>
  <si>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</si>
  <si>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</si>
  <si>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</si>
  <si>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</si>
  <si>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</si>
  <si>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</si>
  <si>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</si>
  <si>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</si>
  <si>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</si>
  <si>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</si>
  <si>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</si>
  <si>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</si>
  <si>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</si>
  <si>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</si>
  <si>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</si>
  <si>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</si>
  <si>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</si>
  <si>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</si>
  <si>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</si>
  <si>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</si>
  <si>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</si>
  <si>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</si>
  <si>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</si>
  <si>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</si>
  <si>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</si>
  <si>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</si>
  <si>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</si>
  <si>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</si>
  <si>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</si>
  <si>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</si>
  <si>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</si>
  <si>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</si>
  <si>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</si>
  <si>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</si>
  <si>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</si>
  <si>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</si>
  <si>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</si>
  <si>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</si>
  <si>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</si>
  <si>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</si>
  <si>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</si>
  <si>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</si>
  <si>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</si>
  <si>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</si>
  <si>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</si>
  <si>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</si>
  <si>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</si>
  <si>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</si>
  <si>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</si>
  <si>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</si>
  <si>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</si>
  <si>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</si>
  <si>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</si>
  <si>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</si>
  <si>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</si>
  <si>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</si>
  <si>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</si>
  <si>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</si>
  <si>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</si>
  <si>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</si>
  <si>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</si>
  <si>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</si>
  <si>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</si>
  <si>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</si>
  <si>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</si>
  <si>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</si>
  <si>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</si>
  <si>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</si>
  <si>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</si>
  <si>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</si>
  <si>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</si>
  <si>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</si>
  <si>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</si>
  <si>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</si>
  <si>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</si>
  <si>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</si>
  <si>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</si>
  <si>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</si>
  <si>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</si>
  <si>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</si>
  <si>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</si>
  <si>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</si>
  <si>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</si>
  <si>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</si>
  <si>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</si>
  <si>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</si>
  <si>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</si>
  <si>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</si>
  <si>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</si>
  <si>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</si>
  <si>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</si>
  <si>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</si>
  <si>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</si>
  <si>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</si>
  <si>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</si>
  <si>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</si>
  <si>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</si>
  <si>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</si>
  <si>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</si>
  <si>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</si>
  <si>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</si>
  <si>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</si>
  <si>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</si>
  <si>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</si>
  <si>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</si>
  <si>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</si>
  <si>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</si>
  <si>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</si>
  <si>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</si>
  <si>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</si>
  <si>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</si>
  <si>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</si>
  <si>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</si>
  <si>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</si>
  <si>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</si>
  <si>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</si>
  <si>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</si>
  <si>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</si>
  <si>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</si>
  <si>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</si>
  <si>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</si>
  <si>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</si>
  <si>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</si>
  <si>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</si>
  <si>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</si>
  <si>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</si>
  <si>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</si>
  <si>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</si>
  <si>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</si>
  <si>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</si>
  <si>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</si>
  <si>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</si>
  <si>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</si>
  <si>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</si>
  <si>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</si>
  <si>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</si>
  <si>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</si>
  <si>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</si>
  <si>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</si>
  <si>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</si>
  <si>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</si>
  <si>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</si>
  <si>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</si>
  <si>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</si>
  <si>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</si>
  <si>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</si>
  <si>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</si>
  <si>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</si>
  <si>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</si>
  <si>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</si>
  <si>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</si>
  <si>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</si>
  <si>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</si>
  <si>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</si>
  <si>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</si>
  <si>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</si>
  <si>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</si>
  <si>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</si>
  <si>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</si>
  <si>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</si>
  <si>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</si>
  <si>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</si>
  <si>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</si>
  <si>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</si>
  <si>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</si>
  <si>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</si>
  <si>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</si>
  <si>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</si>
  <si>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</si>
  <si>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</si>
  <si>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</si>
  <si>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</si>
  <si>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</si>
  <si>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</si>
  <si>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</si>
  <si>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</si>
  <si>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</si>
  <si>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</si>
  <si>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</si>
  <si>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</si>
  <si>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</si>
  <si>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</si>
  <si>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</si>
  <si>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</si>
  <si>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</si>
  <si>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</si>
  <si>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</si>
  <si>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</si>
  <si>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</si>
  <si>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</si>
  <si>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</si>
  <si>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</si>
  <si>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</si>
  <si>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</si>
  <si>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</si>
  <si>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</si>
  <si>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</si>
  <si>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</si>
  <si>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</si>
  <si>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</si>
  <si>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</si>
  <si>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</si>
  <si>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</si>
  <si>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</si>
  <si>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</si>
  <si>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</si>
  <si>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</si>
  <si>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</si>
  <si>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</si>
  <si>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</si>
  <si>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</si>
  <si>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</si>
  <si>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</si>
  <si>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</si>
  <si>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</si>
  <si>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</si>
  <si>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</si>
  <si>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</si>
  <si>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</si>
  <si>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</si>
  <si>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</si>
  <si>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</si>
  <si>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</si>
  <si>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</si>
  <si>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</si>
  <si>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</si>
  <si>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</si>
  <si>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</si>
  <si>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</si>
  <si>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</si>
  <si>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</si>
  <si>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</si>
  <si>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</si>
  <si>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</si>
  <si>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</si>
  <si>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</si>
  <si>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</si>
  <si>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</si>
  <si>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</si>
  <si>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</si>
  <si>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</si>
  <si>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</si>
  <si>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</si>
  <si>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</si>
  <si>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</si>
  <si>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</si>
  <si>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</si>
  <si>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</si>
  <si>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</si>
  <si>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</si>
  <si>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</si>
  <si>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</si>
  <si>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</si>
  <si>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</si>
  <si>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</si>
  <si>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</si>
  <si>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</si>
  <si>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</si>
  <si>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</si>
  <si>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</si>
  <si>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</si>
  <si>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</si>
  <si>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</si>
  <si>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</si>
  <si>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</si>
  <si>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</si>
  <si>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</si>
  <si>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</si>
  <si>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</si>
  <si>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</si>
  <si>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</si>
  <si>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</si>
  <si>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</si>
  <si>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</si>
  <si>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</si>
  <si>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</si>
  <si>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</si>
  <si>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</si>
  <si>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</si>
  <si>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</si>
  <si>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</si>
  <si>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</si>
  <si>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</si>
  <si>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</si>
  <si>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</si>
  <si>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</si>
  <si>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</si>
  <si>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</si>
  <si>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</si>
  <si>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</si>
  <si>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</si>
  <si>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</si>
  <si>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</si>
  <si>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</si>
  <si>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</si>
  <si>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</si>
  <si>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</si>
  <si>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</si>
  <si>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</si>
  <si>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</si>
  <si>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</si>
  <si>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</si>
  <si>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</si>
  <si>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</si>
  <si>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</si>
  <si>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</si>
  <si>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</si>
  <si>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</si>
  <si>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</si>
  <si>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</si>
  <si>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</si>
  <si>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</si>
  <si>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</si>
  <si>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</si>
  <si>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</si>
  <si>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</si>
  <si>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</si>
  <si>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</si>
  <si>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</si>
  <si>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</si>
  <si>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</si>
  <si>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</si>
  <si>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</si>
  <si>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</si>
  <si>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</si>
  <si>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</si>
  <si>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</si>
  <si>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</si>
  <si>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</si>
  <si>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</si>
  <si>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</si>
  <si>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</si>
  <si>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</si>
  <si>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</si>
  <si>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</si>
  <si>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</si>
  <si>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</si>
  <si>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</si>
  <si>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</si>
  <si>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</si>
  <si>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</si>
  <si>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</si>
  <si>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</si>
  <si>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</si>
  <si>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</si>
  <si>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</si>
  <si>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</si>
  <si>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</si>
  <si>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</si>
  <si>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</si>
  <si>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</si>
  <si>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</si>
  <si>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</si>
  <si>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</si>
  <si>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</si>
  <si>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</si>
  <si>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</si>
  <si>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</si>
  <si>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</si>
  <si>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</si>
  <si>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</si>
  <si>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</si>
  <si>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</si>
  <si>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</si>
  <si>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</si>
  <si>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</si>
  <si>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</si>
  <si>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</si>
  <si>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</si>
  <si>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</si>
  <si>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</si>
  <si>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</si>
  <si>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</si>
  <si>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</si>
  <si>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</si>
  <si>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</si>
  <si>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</si>
  <si>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</si>
  <si>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</si>
  <si>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</si>
  <si>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</si>
  <si>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</si>
  <si>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</si>
  <si>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</si>
  <si>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</si>
  <si>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</si>
  <si>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</si>
  <si>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</si>
  <si>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</si>
  <si>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</si>
  <si>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</si>
  <si>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</si>
  <si>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</si>
  <si>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</si>
  <si>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</si>
  <si>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</si>
  <si>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</si>
  <si>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</si>
  <si>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</si>
  <si>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</si>
  <si>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</si>
  <si>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</si>
  <si>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</si>
  <si>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</si>
  <si>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</si>
  <si>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</si>
  <si>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</si>
  <si>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</si>
  <si>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</si>
  <si>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</si>
  <si>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</si>
  <si>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</si>
  <si>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</si>
  <si>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</si>
  <si>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</si>
  <si>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</si>
  <si>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</si>
  <si>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</si>
  <si>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</si>
  <si>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</si>
  <si>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</si>
  <si>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</si>
  <si>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</si>
  <si>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</si>
  <si>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</si>
  <si>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</si>
  <si>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</si>
  <si>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</si>
  <si>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</si>
  <si>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</si>
  <si>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</si>
  <si>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</si>
  <si>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</si>
  <si>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</si>
  <si>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</si>
  <si>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</si>
  <si>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</si>
  <si>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</si>
  <si>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</si>
  <si>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</si>
  <si>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</si>
  <si>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</si>
  <si>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</si>
  <si>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</si>
  <si>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</si>
  <si>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</si>
  <si>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</si>
  <si>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</si>
  <si>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</si>
  <si>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</si>
  <si>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</si>
  <si>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</si>
  <si>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</si>
  <si>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</si>
  <si>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</si>
  <si>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</si>
  <si>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</si>
  <si>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</si>
  <si>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</si>
  <si>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</si>
  <si>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</si>
  <si>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</si>
  <si>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</si>
  <si>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</si>
  <si>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</si>
  <si>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</si>
  <si>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</si>
  <si>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</si>
  <si>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</si>
  <si>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</si>
  <si>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</si>
  <si>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</si>
  <si>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</si>
  <si>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</si>
  <si>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</si>
  <si>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</si>
  <si>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</si>
  <si>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</si>
  <si>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</si>
  <si>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</si>
  <si>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</si>
  <si>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</si>
  <si>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</si>
  <si>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</si>
  <si>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</si>
  <si>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</si>
  <si>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</si>
  <si>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</si>
  <si>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</si>
  <si>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</si>
  <si>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</si>
  <si>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</si>
  <si>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</si>
  <si>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</si>
  <si>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</si>
  <si>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</si>
  <si>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</si>
  <si>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</si>
  <si>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</si>
  <si>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</si>
  <si>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</si>
  <si>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</si>
  <si>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</si>
  <si>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</si>
  <si>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</si>
  <si>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</si>
  <si>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</si>
  <si>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</si>
  <si>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</si>
  <si>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</si>
  <si>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</si>
  <si>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</si>
  <si>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</si>
  <si>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</si>
  <si>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</si>
  <si>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</si>
  <si>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</si>
  <si>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</si>
  <si>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</si>
  <si>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</si>
  <si>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</si>
  <si>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</si>
  <si>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</si>
  <si>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</si>
  <si>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</si>
  <si>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</si>
  <si>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</si>
  <si>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</si>
  <si>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</si>
  <si>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</si>
  <si>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</si>
  <si>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</si>
  <si>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</si>
  <si>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</si>
  <si>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</si>
  <si>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</si>
  <si>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</si>
  <si>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</si>
  <si>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</si>
  <si>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</si>
  <si>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</si>
  <si>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</si>
  <si>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</si>
  <si>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</si>
  <si>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</si>
  <si>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</si>
  <si>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</si>
  <si>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</si>
  <si>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</si>
  <si>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</si>
  <si>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</si>
  <si>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</si>
  <si>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</si>
  <si>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</si>
  <si>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</si>
  <si>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</si>
  <si>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</si>
  <si>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</si>
  <si>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</si>
  <si>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</si>
  <si>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</si>
  <si>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</si>
  <si>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</si>
  <si>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</si>
  <si>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</si>
  <si>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</si>
  <si>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</si>
  <si>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</si>
  <si>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</si>
  <si>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</si>
  <si>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</si>
  <si>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</si>
  <si>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</si>
  <si>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</si>
  <si>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</si>
  <si>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</si>
  <si>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</si>
  <si>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</si>
  <si>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</si>
  <si>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</si>
  <si>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</si>
  <si>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</si>
  <si>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</si>
  <si>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</si>
  <si>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</si>
  <si>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</si>
  <si>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</si>
  <si>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</si>
  <si>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</si>
  <si>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</si>
  <si>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</si>
  <si>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</si>
  <si>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</si>
  <si>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</si>
  <si>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</si>
  <si>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</si>
  <si>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</si>
  <si>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</si>
  <si>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</si>
  <si>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</si>
  <si>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</si>
  <si>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</si>
  <si>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</si>
  <si>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</si>
  <si>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</si>
  <si>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</si>
  <si>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</si>
  <si>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</si>
  <si>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</si>
  <si>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</si>
  <si>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</si>
  <si>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</si>
  <si>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</si>
  <si>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</si>
  <si>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</si>
  <si>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</si>
  <si>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</si>
  <si>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</si>
  <si>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</si>
  <si>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</si>
  <si>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</si>
  <si>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</si>
  <si>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</si>
  <si>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</si>
  <si>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</si>
  <si>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</si>
  <si>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</si>
  <si>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</si>
  <si>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</si>
  <si>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</si>
  <si>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</si>
  <si>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</si>
  <si>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</si>
  <si>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</si>
  <si>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</si>
  <si>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</si>
  <si>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</si>
  <si>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</si>
  <si>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</si>
  <si>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</si>
  <si>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</si>
  <si>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</si>
  <si>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</si>
  <si>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</si>
  <si>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</si>
  <si>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</si>
  <si>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</si>
  <si>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</si>
  <si>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</si>
  <si>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</si>
  <si>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</si>
  <si>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</si>
  <si>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</si>
  <si>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</si>
  <si>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</si>
  <si>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</si>
  <si>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</si>
  <si>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</si>
  <si>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</si>
  <si>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</si>
  <si>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</si>
  <si>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</si>
  <si>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</si>
  <si>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</si>
  <si>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</si>
  <si>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</si>
  <si>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</si>
  <si>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</si>
  <si>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</si>
  <si>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</si>
  <si>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</si>
  <si>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</si>
  <si>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</si>
  <si>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</si>
  <si>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</si>
  <si>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</si>
  <si>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</si>
  <si>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</si>
  <si>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</si>
  <si>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</si>
  <si>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</si>
  <si>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</si>
  <si>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</si>
  <si>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</si>
  <si>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</si>
  <si>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</si>
  <si>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</si>
  <si>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</si>
  <si>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</si>
  <si>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</si>
  <si>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</si>
  <si>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</si>
  <si>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</si>
  <si>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</si>
  <si>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</si>
  <si>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</si>
  <si>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</si>
  <si>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</si>
  <si>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</si>
  <si>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</si>
  <si>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</si>
  <si>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</si>
  <si>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</si>
  <si>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</si>
  <si>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</si>
  <si>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</si>
  <si>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</si>
  <si>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</si>
  <si>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</si>
  <si>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</si>
  <si>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</si>
  <si>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</si>
  <si>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</si>
  <si>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</si>
  <si>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</si>
  <si>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</si>
  <si>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</si>
  <si>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</si>
  <si>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</si>
  <si>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</si>
  <si>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</si>
  <si>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</si>
  <si>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</si>
  <si>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</si>
  <si>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</si>
  <si>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</si>
  <si>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</si>
  <si>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</si>
  <si>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</si>
  <si>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</si>
  <si>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</si>
  <si>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</si>
  <si>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</si>
  <si>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</si>
  <si>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</si>
  <si>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</si>
  <si>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</si>
  <si>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</si>
  <si>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</si>
  <si>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</si>
  <si>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</si>
  <si>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</si>
  <si>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</si>
  <si>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</si>
  <si>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</si>
  <si>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</si>
  <si>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</si>
  <si>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</si>
  <si>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</si>
  <si>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</si>
  <si>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</si>
  <si>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</si>
  <si>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</si>
  <si>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</si>
  <si>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</si>
  <si>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</si>
  <si>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</si>
  <si>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</si>
  <si>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</si>
  <si>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</si>
  <si>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</si>
  <si>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</si>
  <si>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</si>
  <si>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</si>
  <si>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</si>
  <si>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</si>
  <si>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</si>
  <si>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</si>
  <si>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</si>
  <si>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</si>
  <si>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</si>
  <si>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</si>
  <si>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</si>
  <si>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</si>
  <si>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</si>
  <si>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</si>
  <si>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</si>
  <si>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</si>
  <si>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</si>
  <si>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</si>
  <si>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</si>
  <si>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</si>
  <si>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</si>
  <si>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</si>
  <si>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</si>
  <si>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</si>
  <si>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</si>
  <si>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</si>
  <si>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</si>
  <si>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</si>
  <si>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</si>
  <si>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</si>
  <si>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</si>
  <si>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</si>
  <si>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</si>
  <si>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</si>
  <si>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</si>
  <si>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</si>
  <si>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</si>
  <si>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</si>
  <si>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</si>
  <si>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</si>
  <si>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</si>
  <si>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</si>
  <si>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</si>
  <si>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</si>
  <si>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</si>
  <si>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</si>
  <si>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</si>
  <si>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</si>
  <si>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</si>
  <si>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</si>
  <si>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</si>
  <si>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</si>
  <si>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</si>
  <si>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</si>
  <si>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</si>
  <si>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</si>
  <si>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</si>
  <si>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</si>
  <si>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</si>
  <si>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</si>
  <si>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</si>
  <si>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</si>
  <si>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</si>
  <si>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</si>
  <si>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</si>
  <si>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</si>
  <si>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</si>
  <si>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</si>
  <si>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</si>
  <si>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</si>
  <si>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</si>
  <si>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</si>
  <si>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</si>
  <si>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</si>
  <si>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</si>
  <si>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</si>
  <si>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</si>
  <si>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</si>
  <si>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</si>
  <si>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</si>
  <si>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</si>
  <si>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</si>
  <si>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</si>
  <si>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</si>
  <si>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</si>
  <si>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</si>
  <si>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</si>
  <si>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</si>
  <si>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</si>
  <si>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</si>
  <si>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</si>
  <si>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</si>
  <si>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</si>
  <si>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</si>
  <si>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</si>
  <si>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</si>
  <si>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</si>
  <si>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</si>
  <si>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</si>
  <si>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</si>
  <si>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</si>
  <si>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</si>
  <si>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</si>
  <si>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</si>
  <si>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</si>
  <si>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</si>
  <si>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</si>
  <si>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</si>
  <si>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</si>
  <si>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</si>
  <si>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</si>
  <si>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</si>
  <si>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</si>
  <si>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</si>
  <si>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</si>
  <si>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</si>
  <si>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</si>
  <si>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</si>
  <si>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</si>
  <si>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</si>
  <si>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</si>
  <si>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</si>
  <si>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</si>
  <si>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</si>
  <si>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</si>
  <si>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</si>
  <si>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</si>
  <si>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</si>
  <si>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</si>
  <si>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</si>
  <si>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</si>
  <si>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</si>
  <si>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</si>
  <si>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</si>
  <si>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</si>
  <si>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</si>
  <si>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</si>
  <si>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</si>
  <si>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</si>
  <si>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</si>
  <si>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</si>
  <si>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</si>
  <si>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</si>
  <si>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</si>
  <si>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</si>
  <si>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</si>
  <si>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</si>
  <si>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</si>
  <si>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</si>
  <si>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</si>
  <si>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</si>
  <si>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</si>
  <si>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</si>
  <si>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</si>
  <si>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</si>
  <si>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</si>
  <si>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</si>
  <si>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</si>
  <si>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</si>
  <si>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</si>
  <si>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</si>
  <si>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</si>
  <si>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</si>
  <si>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</si>
  <si>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</si>
  <si>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</si>
  <si>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</si>
  <si>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</si>
  <si>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</si>
  <si>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</si>
  <si>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</si>
  <si>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</si>
  <si>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</si>
  <si>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</si>
  <si>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</si>
  <si>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</si>
  <si>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</si>
  <si>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</si>
  <si>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</si>
  <si>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</si>
  <si>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</si>
  <si>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</si>
  <si>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</si>
  <si>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</si>
  <si>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</si>
  <si>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</si>
  <si>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</si>
  <si>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</si>
  <si>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</si>
  <si>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</si>
  <si>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</si>
  <si>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</si>
  <si>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</si>
  <si>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</si>
  <si>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</si>
  <si>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</si>
  <si>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</si>
  <si>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</si>
  <si>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</si>
  <si>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</si>
  <si>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</si>
  <si>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</si>
  <si>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</si>
  <si>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</si>
  <si>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</si>
  <si>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</si>
  <si>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</si>
  <si>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</si>
  <si>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</si>
  <si>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</si>
  <si>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</si>
  <si>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</si>
  <si>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</si>
  <si>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</si>
  <si>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</si>
  <si>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</si>
  <si>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</si>
  <si>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</si>
  <si>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</si>
  <si>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</si>
  <si>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</si>
  <si>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</si>
  <si>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</si>
  <si>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</si>
  <si>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</si>
  <si>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</si>
  <si>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</si>
  <si>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</si>
  <si>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</si>
  <si>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</si>
  <si>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</si>
  <si>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</si>
  <si>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</si>
  <si>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</si>
  <si>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</si>
  <si>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</si>
  <si>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</si>
  <si>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</si>
  <si>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</si>
  <si>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</si>
  <si>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</si>
  <si>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</si>
  <si>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</si>
  <si>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</si>
  <si>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</si>
  <si>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</si>
  <si>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</si>
  <si>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</si>
  <si>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</si>
  <si>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</si>
  <si>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</si>
  <si>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</si>
  <si>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</si>
  <si>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</si>
  <si>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</si>
  <si>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</si>
  <si>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</si>
  <si>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</si>
  <si>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</si>
  <si>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</si>
  <si>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</si>
  <si>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</si>
  <si>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</si>
  <si>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</si>
  <si>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</si>
  <si>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</si>
  <si>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</si>
  <si>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</si>
  <si>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</si>
  <si>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</si>
  <si>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</si>
  <si>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</si>
  <si>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</si>
  <si>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</si>
  <si>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</si>
  <si>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</si>
  <si>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</si>
  <si>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</si>
  <si>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</si>
  <si>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</si>
  <si>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</si>
  <si>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</si>
  <si>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</si>
  <si>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</si>
  <si>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</si>
  <si>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</si>
  <si>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</si>
  <si>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</si>
  <si>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</si>
  <si>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</si>
  <si>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</si>
  <si>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</si>
  <si>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</si>
  <si>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</si>
  <si>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</si>
  <si>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</si>
  <si>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</si>
  <si>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</si>
  <si>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</si>
  <si>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</si>
  <si>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</si>
  <si>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</si>
  <si>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</si>
  <si>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</si>
  <si>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</si>
  <si>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</si>
  <si>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</si>
  <si>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</si>
  <si>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</si>
  <si>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</si>
  <si>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</si>
  <si>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</si>
  <si>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</si>
  <si>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</si>
  <si>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</si>
  <si>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</si>
  <si>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</si>
  <si>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</si>
  <si>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</si>
  <si>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</si>
  <si>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</si>
  <si>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</si>
  <si>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</si>
  <si>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</si>
  <si>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</si>
  <si>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</si>
  <si>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</si>
  <si>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</si>
  <si>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</si>
  <si>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</si>
  <si>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</si>
  <si>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</si>
  <si>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</si>
  <si>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</si>
  <si>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</si>
  <si>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</si>
  <si>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</si>
  <si>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</si>
  <si>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</si>
  <si>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</si>
  <si>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</si>
  <si>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</si>
  <si>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</si>
  <si>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</si>
  <si>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</si>
  <si>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</si>
  <si>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</si>
  <si>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</si>
  <si>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</si>
  <si>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</si>
  <si>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</si>
  <si>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</si>
  <si>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</si>
  <si>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</si>
  <si>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</si>
  <si>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</si>
  <si>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</si>
  <si>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</si>
  <si>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</si>
  <si>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</si>
  <si>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</si>
  <si>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</si>
  <si>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</si>
  <si>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</si>
  <si>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</si>
  <si>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</si>
  <si>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</si>
  <si>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</si>
  <si>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</si>
  <si>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</si>
  <si>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</si>
  <si>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</si>
  <si>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</si>
  <si>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</si>
  <si>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</si>
  <si>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</si>
  <si>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</si>
  <si>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</si>
  <si>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</si>
  <si>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</si>
  <si>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</si>
  <si>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</si>
  <si>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</si>
  <si>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</si>
  <si>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</si>
  <si>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</si>
  <si>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</si>
  <si>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</si>
  <si>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</si>
  <si>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</si>
  <si>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</si>
  <si>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</si>
  <si>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</si>
  <si>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</si>
  <si>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</si>
  <si>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</si>
  <si>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</si>
  <si>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</si>
  <si>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</si>
  <si>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</si>
  <si>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</si>
  <si>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</si>
  <si>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</si>
  <si>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</si>
  <si>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</si>
  <si>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</si>
  <si>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</si>
  <si>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</si>
  <si>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</si>
  <si>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</si>
  <si>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</si>
  <si>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</si>
  <si>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</si>
  <si>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</si>
  <si>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</si>
  <si>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</si>
  <si>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</si>
  <si>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</si>
  <si>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</si>
  <si>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</si>
  <si>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</si>
  <si>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</si>
  <si>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</si>
  <si>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</si>
  <si>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</si>
  <si>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</si>
  <si>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</si>
  <si>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</si>
  <si>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</si>
  <si>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</si>
  <si>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</si>
  <si>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</si>
  <si>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</si>
  <si>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</si>
  <si>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</si>
  <si>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</si>
  <si>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</si>
  <si>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</si>
  <si>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</si>
  <si>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</si>
  <si>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</si>
  <si>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</si>
  <si>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</si>
  <si>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</si>
  <si>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</si>
  <si>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</si>
  <si>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</si>
  <si>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</si>
  <si>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</si>
  <si>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</si>
  <si>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</si>
  <si>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</si>
  <si>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</si>
  <si>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</si>
  <si>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</si>
  <si>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</si>
  <si>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</si>
  <si>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</si>
  <si>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</si>
  <si>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</si>
  <si>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</si>
  <si>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</si>
  <si>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</si>
  <si>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</si>
  <si>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</si>
  <si>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</si>
  <si>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</si>
  <si>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</si>
  <si>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</si>
  <si>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</si>
  <si>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</si>
  <si>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</si>
  <si>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</si>
  <si>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</si>
  <si>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</si>
  <si>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</si>
  <si>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</si>
  <si>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</si>
  <si>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</si>
  <si>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</si>
  <si>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</si>
  <si>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</si>
  <si>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</si>
  <si>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</si>
  <si>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</si>
  <si>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</si>
  <si>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</si>
  <si>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</si>
  <si>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</si>
  <si>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</si>
  <si>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</si>
  <si>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</si>
  <si>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</si>
  <si>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</si>
  <si>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</si>
  <si>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</si>
  <si>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</si>
  <si>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</si>
  <si>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</si>
  <si>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</si>
  <si>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</si>
  <si>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</si>
  <si>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</si>
  <si>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</si>
  <si>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</si>
  <si>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</si>
  <si>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</si>
  <si>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</si>
  <si>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</si>
  <si>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</si>
  <si>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</si>
  <si>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</si>
  <si>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</si>
  <si>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</si>
  <si>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</si>
  <si>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</si>
  <si>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</si>
  <si>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</si>
  <si>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</si>
  <si>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</si>
  <si>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</si>
  <si>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</si>
  <si>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</si>
  <si>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</si>
  <si>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</si>
  <si>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</si>
  <si>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</si>
  <si>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</si>
  <si>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</si>
  <si>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</si>
  <si>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</si>
  <si>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</si>
  <si>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</si>
  <si>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</si>
  <si>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</si>
  <si>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</si>
  <si>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</si>
  <si>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</si>
  <si>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</si>
  <si>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</si>
  <si>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</si>
  <si>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</si>
  <si>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</si>
  <si>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</si>
  <si>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</si>
  <si>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</si>
  <si>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</si>
  <si>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</si>
  <si>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</si>
  <si>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</si>
  <si>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</si>
  <si>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</si>
  <si>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</si>
  <si>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</si>
  <si>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</si>
  <si>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</si>
  <si>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</si>
  <si>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</si>
  <si>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</si>
  <si>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</si>
  <si>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</si>
  <si>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</si>
  <si>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</si>
  <si>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</si>
  <si>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</si>
  <si>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</si>
  <si>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</si>
  <si>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</si>
  <si>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</si>
  <si>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</si>
  <si>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</si>
  <si>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</si>
  <si>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</si>
  <si>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</si>
  <si>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</si>
  <si>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</si>
  <si>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</si>
  <si>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</si>
  <si>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</si>
  <si>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</si>
  <si>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</si>
  <si>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</si>
  <si>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</si>
  <si>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</si>
  <si>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</si>
  <si>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</si>
  <si>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</si>
  <si>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</si>
  <si>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</si>
  <si>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</si>
  <si>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</si>
  <si>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</si>
  <si>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</si>
  <si>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</si>
  <si>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</si>
  <si>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</si>
  <si>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</si>
  <si>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</si>
  <si>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</si>
  <si>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</si>
  <si>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</si>
  <si>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</si>
  <si>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</si>
  <si>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</si>
  <si>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</si>
  <si>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</si>
  <si>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</si>
  <si>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</si>
  <si>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</si>
  <si>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</si>
  <si>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</si>
  <si>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</si>
  <si>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</si>
  <si>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</si>
  <si>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</si>
  <si>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</si>
  <si>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</si>
  <si>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</si>
  <si>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</si>
  <si>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</si>
  <si>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</si>
  <si>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</si>
  <si>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</si>
  <si>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</si>
  <si>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</si>
  <si>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</si>
  <si>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</si>
  <si>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</si>
  <si>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</si>
  <si>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</si>
  <si>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</si>
  <si>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</si>
  <si>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</si>
  <si>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</si>
  <si>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</si>
  <si>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</si>
  <si>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</si>
  <si>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</si>
  <si>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</si>
  <si>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</si>
  <si>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</si>
  <si>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</si>
  <si>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</si>
  <si>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</si>
  <si>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</si>
  <si>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</si>
  <si>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</si>
  <si>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</si>
  <si>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</si>
  <si>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</si>
  <si>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</si>
  <si>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</si>
  <si>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</si>
  <si>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</si>
  <si>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</si>
  <si>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</si>
  <si>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</si>
  <si>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</si>
  <si>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</si>
  <si>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</si>
  <si>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</si>
  <si>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</si>
  <si>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</si>
  <si>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</si>
  <si>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</si>
  <si>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</si>
  <si>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</si>
  <si>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</si>
  <si>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</si>
  <si>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</si>
  <si>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</si>
  <si>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</si>
  <si>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</si>
  <si>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</si>
  <si>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</si>
  <si>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</si>
  <si>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</si>
  <si>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</si>
  <si>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</si>
  <si>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</si>
  <si>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</si>
  <si>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</si>
  <si>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</si>
  <si>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</si>
  <si>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</si>
  <si>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</si>
  <si>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</si>
  <si>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</si>
  <si>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</si>
  <si>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</si>
  <si>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</si>
  <si>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</si>
  <si>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</si>
  <si>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</si>
  <si>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</si>
  <si>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</si>
  <si>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</si>
  <si>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</si>
  <si>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</si>
  <si>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</si>
  <si>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</si>
  <si>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</si>
  <si>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</si>
  <si>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</si>
  <si>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</si>
  <si>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</si>
  <si>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</si>
  <si>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</si>
  <si>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</si>
  <si>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</si>
  <si>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</si>
  <si>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</si>
  <si>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</si>
  <si>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</si>
  <si>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</si>
  <si>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</si>
  <si>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</si>
  <si>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</si>
  <si>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</si>
  <si>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</si>
  <si>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</si>
  <si>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</si>
  <si>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</si>
  <si>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</si>
  <si>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</si>
  <si>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</si>
  <si>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</si>
  <si>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</si>
  <si>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</si>
  <si>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</si>
  <si>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</si>
  <si>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</si>
  <si>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</si>
  <si>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</si>
  <si>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</si>
  <si>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</si>
  <si>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</si>
  <si>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</si>
  <si>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</si>
  <si>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</si>
  <si>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</si>
  <si>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</si>
  <si>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</si>
  <si>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</si>
  <si>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</si>
  <si>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</si>
  <si>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</si>
  <si>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</si>
  <si>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</si>
  <si>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</si>
  <si>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</si>
  <si>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</si>
  <si>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</si>
  <si>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</si>
  <si>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</si>
  <si>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</si>
  <si>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</si>
  <si>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</si>
  <si>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</si>
  <si>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</si>
  <si>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</si>
  <si>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</si>
  <si>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</si>
  <si>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</si>
  <si>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</si>
  <si>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</si>
  <si>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</si>
  <si>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</si>
  <si>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</si>
  <si>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</si>
  <si>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</si>
  <si>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</si>
  <si>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</si>
  <si>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</si>
  <si>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</si>
  <si>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</si>
  <si>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</si>
  <si>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</si>
  <si>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</si>
  <si>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</si>
  <si>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</si>
  <si>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</si>
  <si>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</si>
  <si>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</si>
  <si>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</si>
  <si>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</si>
  <si>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</si>
  <si>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</si>
  <si>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</si>
  <si>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</si>
  <si>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</si>
  <si>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</si>
  <si>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</si>
  <si>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</si>
  <si>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</si>
  <si>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</si>
  <si>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</si>
  <si>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</si>
  <si>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</si>
  <si>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</si>
  <si>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</si>
  <si>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</si>
  <si>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</si>
  <si>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</si>
  <si>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</si>
  <si>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</si>
  <si>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</si>
  <si>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</si>
  <si>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</si>
  <si>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</si>
  <si>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</si>
  <si>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</si>
  <si>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</si>
  <si>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</si>
  <si>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</si>
  <si>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</si>
  <si>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</si>
  <si>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</si>
  <si>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</si>
  <si>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</si>
  <si>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</si>
  <si>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</si>
  <si>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</si>
  <si>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</si>
  <si>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</si>
  <si>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</si>
  <si>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</si>
  <si>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</si>
  <si>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</si>
  <si>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</si>
  <si>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</si>
  <si>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</si>
  <si>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</si>
  <si>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</si>
  <si>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</si>
  <si>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</si>
  <si>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</si>
  <si>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</si>
  <si>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</si>
  <si>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</si>
  <si>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</si>
  <si>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</si>
  <si>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</si>
  <si>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</si>
  <si>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</si>
  <si>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</si>
  <si>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</si>
  <si>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</si>
  <si>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</si>
  <si>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</si>
  <si>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</si>
  <si>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</si>
  <si>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</si>
  <si>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</si>
  <si>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</si>
  <si>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</si>
  <si>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</si>
  <si>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</si>
  <si>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</si>
  <si>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</si>
  <si>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</si>
  <si>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</si>
  <si>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</si>
  <si>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</si>
  <si>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</si>
  <si>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</si>
  <si>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</si>
  <si>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</si>
  <si>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</si>
  <si>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</si>
  <si>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</si>
  <si>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</si>
  <si>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</si>
  <si>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</si>
  <si>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</si>
  <si>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</si>
  <si>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</si>
  <si>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</si>
  <si>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</si>
  <si>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</si>
  <si>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</si>
  <si>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</si>
  <si>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</si>
  <si>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</si>
  <si>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</si>
  <si>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</si>
  <si>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</si>
  <si>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</si>
  <si>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</si>
  <si>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</si>
  <si>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</si>
  <si>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</si>
  <si>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</si>
  <si>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</si>
  <si>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</si>
  <si>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</si>
  <si>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</si>
  <si>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</si>
  <si>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</si>
  <si>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</si>
  <si>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</si>
  <si>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</si>
  <si>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</si>
  <si>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</si>
  <si>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</si>
  <si>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</si>
  <si>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</si>
  <si>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</si>
  <si>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</si>
  <si>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</si>
  <si>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</si>
  <si>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</si>
  <si>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</si>
  <si>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</si>
  <si>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</si>
  <si>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</si>
  <si>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</si>
  <si>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</si>
  <si>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</si>
  <si>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</si>
  <si>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</si>
  <si>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</si>
  <si>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</si>
  <si>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</si>
  <si>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</si>
  <si>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</si>
  <si>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</si>
  <si>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</si>
  <si>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</si>
  <si>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</si>
  <si>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</si>
  <si>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</si>
  <si>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</si>
  <si>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</si>
  <si>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</si>
  <si>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</si>
  <si>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</si>
  <si>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</si>
  <si>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</si>
  <si>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</si>
  <si>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</si>
  <si>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</si>
  <si>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</si>
  <si>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</si>
  <si>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</si>
  <si>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</si>
  <si>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</si>
  <si>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</si>
  <si>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</si>
  <si>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</si>
  <si>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</si>
  <si>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</si>
  <si>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</si>
  <si>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</si>
  <si>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</si>
  <si>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</si>
  <si>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</si>
  <si>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</si>
  <si>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</si>
  <si>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</si>
  <si>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</si>
  <si>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</si>
  <si>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</si>
  <si>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</si>
  <si>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</si>
  <si>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</si>
  <si>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</si>
  <si>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</si>
  <si>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</si>
  <si>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</si>
  <si>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</si>
  <si>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</si>
  <si>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</si>
  <si>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</si>
  <si>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</si>
  <si>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</si>
  <si>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</si>
  <si>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</si>
  <si>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</si>
  <si>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</si>
  <si>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</si>
  <si>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</si>
  <si>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</si>
  <si>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</si>
  <si>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</si>
  <si>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</si>
  <si>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</si>
  <si>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</si>
  <si>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</si>
  <si>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</si>
  <si>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</si>
  <si>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</si>
  <si>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</si>
  <si>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</si>
  <si>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</si>
  <si>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</si>
  <si>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</si>
  <si>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</si>
  <si>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</si>
  <si>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</si>
  <si>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</si>
  <si>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</si>
  <si>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</si>
  <si>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</si>
  <si>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</si>
  <si>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</si>
  <si>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</si>
  <si>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</si>
  <si>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</si>
  <si>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</si>
  <si>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</si>
  <si>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</si>
  <si>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</si>
  <si>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</si>
  <si>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</si>
  <si>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</si>
  <si>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</si>
  <si>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</si>
  <si>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</si>
  <si>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</si>
  <si>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</si>
  <si>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</si>
  <si>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</si>
  <si>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</si>
  <si>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</si>
  <si>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</si>
  <si>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</si>
  <si>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</si>
  <si>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</si>
  <si>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</si>
  <si>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</si>
  <si>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</si>
  <si>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</si>
  <si>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</si>
  <si>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</si>
  <si>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</si>
  <si>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</si>
  <si>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</si>
  <si>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</si>
  <si>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</si>
  <si>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</si>
  <si>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</si>
  <si>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</si>
  <si>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</si>
  <si>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</si>
  <si>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</si>
  <si>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</si>
  <si>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</si>
  <si>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</si>
  <si>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</si>
  <si>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</si>
  <si>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</si>
  <si>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</si>
  <si>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</si>
  <si>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</si>
  <si>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</si>
  <si>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</si>
  <si>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</si>
  <si>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</si>
  <si>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</si>
  <si>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</si>
  <si>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</si>
  <si>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</si>
  <si>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</si>
  <si>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</si>
  <si>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</si>
  <si>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</si>
  <si>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</si>
  <si>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</si>
  <si>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</si>
  <si>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</si>
  <si>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</si>
  <si>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</si>
  <si>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</si>
  <si>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</si>
  <si>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</si>
  <si>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</si>
  <si>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</si>
  <si>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</si>
  <si>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</si>
  <si>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</si>
  <si>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</si>
  <si>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</si>
  <si>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</si>
  <si>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</si>
  <si>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</si>
  <si>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</si>
  <si>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</si>
  <si>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</si>
  <si>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</si>
  <si>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</si>
  <si>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</si>
  <si>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</si>
  <si>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</si>
  <si>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</si>
  <si>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</si>
  <si>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</si>
  <si>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</si>
  <si>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</si>
  <si>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</si>
  <si>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</si>
  <si>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</si>
  <si>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</si>
  <si>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</si>
  <si>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</si>
  <si>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</si>
  <si>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</si>
  <si>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</si>
  <si>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</si>
  <si>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</si>
  <si>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</si>
  <si>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</si>
  <si>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</si>
  <si>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</si>
  <si>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</si>
  <si>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</si>
  <si>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</si>
  <si>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</si>
  <si>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</si>
  <si>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</si>
  <si>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</si>
  <si>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</si>
  <si>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</si>
  <si>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</si>
  <si>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</si>
  <si>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</si>
  <si>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</si>
  <si>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</si>
  <si>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</si>
  <si>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</si>
  <si>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</si>
  <si>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</si>
  <si>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</si>
  <si>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</si>
  <si>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</si>
  <si>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</si>
  <si>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</si>
  <si>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</si>
  <si>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</si>
  <si>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</si>
  <si>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</si>
  <si>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</si>
  <si>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</si>
  <si>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</si>
  <si>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</si>
  <si>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</si>
  <si>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</si>
  <si>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</si>
  <si>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</si>
  <si>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</si>
  <si>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</si>
  <si>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</si>
  <si>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</si>
  <si>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</si>
  <si>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</si>
  <si>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</si>
  <si>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</si>
  <si>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</si>
  <si>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</si>
  <si>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</si>
  <si>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</si>
  <si>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</si>
  <si>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</si>
  <si>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</si>
  <si>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</si>
  <si>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</si>
  <si>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</si>
  <si>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</si>
  <si>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</si>
  <si>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</si>
  <si>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</si>
  <si>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</si>
  <si>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</si>
  <si>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</si>
  <si>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</si>
  <si>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</si>
  <si>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</si>
  <si>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</si>
  <si>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</si>
  <si>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</si>
  <si>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</si>
  <si>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</si>
  <si>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</si>
  <si>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</si>
  <si>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</si>
  <si>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</si>
  <si>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</si>
  <si>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</si>
  <si>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</si>
  <si>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</si>
  <si>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</si>
  <si>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</si>
  <si>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</si>
  <si>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</si>
  <si>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</si>
  <si>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</si>
  <si>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</si>
  <si>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</si>
  <si>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</si>
  <si>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</si>
  <si>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</si>
  <si>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</si>
  <si>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</si>
  <si>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</si>
  <si>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</si>
  <si>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</si>
  <si>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</si>
  <si>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</si>
  <si>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</si>
  <si>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</si>
  <si>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</si>
  <si>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</si>
  <si>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</si>
  <si>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</si>
  <si>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</si>
  <si>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</si>
  <si>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</si>
  <si>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</si>
  <si>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</si>
  <si>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</si>
  <si>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</si>
  <si>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</si>
  <si>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</si>
  <si>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</si>
  <si>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</si>
  <si>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</si>
  <si>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</si>
  <si>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</si>
  <si>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</si>
  <si>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</si>
  <si>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</si>
  <si>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</si>
  <si>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</si>
  <si>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</si>
  <si>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</si>
  <si>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</si>
  <si>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</si>
  <si>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</si>
  <si>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</si>
  <si>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</si>
  <si>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</si>
  <si>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</si>
  <si>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</si>
  <si>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</si>
  <si>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</si>
  <si>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</si>
  <si>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</si>
  <si>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</si>
  <si>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</si>
  <si>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</si>
  <si>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</si>
  <si>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</si>
  <si>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</si>
  <si>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</si>
  <si>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</si>
  <si>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</si>
  <si>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</si>
  <si>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</si>
  <si>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</si>
  <si>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</si>
  <si>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</si>
  <si>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</si>
  <si>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</si>
  <si>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</si>
  <si>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</si>
  <si>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</si>
  <si>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</si>
  <si>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</si>
  <si>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</si>
  <si>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</si>
  <si>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</si>
  <si>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</si>
  <si>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</si>
  <si>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</si>
  <si>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</si>
  <si>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</si>
  <si>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</si>
  <si>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</si>
  <si>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</si>
  <si>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</si>
  <si>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</si>
  <si>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</si>
  <si>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</si>
  <si>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</si>
  <si>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</si>
  <si>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</si>
  <si>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</si>
  <si>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</si>
  <si>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</si>
  <si>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</si>
  <si>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</si>
  <si>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</si>
  <si>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</si>
  <si>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</si>
  <si>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</si>
  <si>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</si>
  <si>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</si>
  <si>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</si>
  <si>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</si>
  <si>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</si>
  <si>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</si>
  <si>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</si>
  <si>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</si>
  <si>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</si>
  <si>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</si>
  <si>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</si>
  <si>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</si>
  <si>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</si>
  <si>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</si>
  <si>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</si>
  <si>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</si>
  <si>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</si>
  <si>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</si>
  <si>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</si>
  <si>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</si>
  <si>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</si>
  <si>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</si>
  <si>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</si>
  <si>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</si>
  <si>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</si>
  <si>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</si>
  <si>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</si>
  <si>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</si>
  <si>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</si>
  <si>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</si>
  <si>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</si>
  <si>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</si>
  <si>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</si>
  <si>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</si>
  <si>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</si>
  <si>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</si>
  <si>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</si>
  <si>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</si>
  <si>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</si>
  <si>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</si>
  <si>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</si>
  <si>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</si>
  <si>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</si>
  <si>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</si>
  <si>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</si>
  <si>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</si>
  <si>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</si>
  <si>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</si>
  <si>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</si>
  <si>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</si>
  <si>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</si>
  <si>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</si>
  <si>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</si>
  <si>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</si>
  <si>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</si>
  <si>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</si>
  <si>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</si>
  <si>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</si>
  <si>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</si>
  <si>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</si>
  <si>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</si>
  <si>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</si>
  <si>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</si>
  <si>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</si>
  <si>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</si>
  <si>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</si>
  <si>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</si>
  <si>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</si>
  <si>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</si>
  <si>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</si>
  <si>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</si>
  <si>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</si>
  <si>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</si>
  <si>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</si>
  <si>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</si>
  <si>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</si>
  <si>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</si>
  <si>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</si>
  <si>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</si>
  <si>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</si>
  <si>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</si>
  <si>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</si>
  <si>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</si>
  <si>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</si>
  <si>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</si>
  <si>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</si>
  <si>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</si>
  <si>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</si>
  <si>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</si>
  <si>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</si>
  <si>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</si>
  <si>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</si>
  <si>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</si>
  <si>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</si>
  <si>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</si>
  <si>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</si>
  <si>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</si>
  <si>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</si>
  <si>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</si>
  <si>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</si>
  <si>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</si>
  <si>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</si>
  <si>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</si>
  <si>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</si>
  <si>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</si>
  <si>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</si>
  <si>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</si>
  <si>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</si>
  <si>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</si>
  <si>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</si>
  <si>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</si>
  <si>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</si>
  <si>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</si>
  <si>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</si>
  <si>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</si>
  <si>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</si>
  <si>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</si>
  <si>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</si>
  <si>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</si>
  <si>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</si>
  <si>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</si>
  <si>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</si>
  <si>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</si>
  <si>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</si>
  <si>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</si>
  <si>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</si>
  <si>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</si>
  <si>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</si>
  <si>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</si>
  <si>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</si>
  <si>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</si>
  <si>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</si>
  <si>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</si>
  <si>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</si>
  <si>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</si>
  <si>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</si>
  <si>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</si>
  <si>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</si>
  <si>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</si>
  <si>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</si>
  <si>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</si>
  <si>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</si>
  <si>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</si>
  <si>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</si>
  <si>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</si>
  <si>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</si>
  <si>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</si>
  <si>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</si>
  <si>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</si>
  <si>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</si>
  <si>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</si>
  <si>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</si>
  <si>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</si>
  <si>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</si>
  <si>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</si>
  <si>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</si>
  <si>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</si>
  <si>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</si>
  <si>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</si>
  <si>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</si>
  <si>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</si>
  <si>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</si>
  <si>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</si>
  <si>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</si>
  <si>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</si>
  <si>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</si>
  <si>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</si>
  <si>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</si>
  <si>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</si>
  <si>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</si>
  <si>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</si>
  <si>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</si>
  <si>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</si>
  <si>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</si>
  <si>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</si>
  <si>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</si>
  <si>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</si>
  <si>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</si>
  <si>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</si>
  <si>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</si>
  <si>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</si>
  <si>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</si>
  <si>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</si>
  <si>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</si>
  <si>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</si>
  <si>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</si>
  <si>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</si>
  <si>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</si>
  <si>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</si>
  <si>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</si>
  <si>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</si>
  <si>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</si>
  <si>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</si>
  <si>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</si>
  <si>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</si>
  <si>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</si>
  <si>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</si>
  <si>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</si>
  <si>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</si>
  <si>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</si>
  <si>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</si>
  <si>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</si>
  <si>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</si>
  <si>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</si>
  <si>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</si>
  <si>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</si>
  <si>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</si>
  <si>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</si>
  <si>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</si>
  <si>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</si>
  <si>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</si>
  <si>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</si>
  <si>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</si>
  <si>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</si>
  <si>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</si>
  <si>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</si>
  <si>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</si>
  <si>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</si>
  <si>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</si>
  <si>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</si>
  <si>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</si>
  <si>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</si>
  <si>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</si>
  <si>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</si>
  <si>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</si>
  <si>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</si>
  <si>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</si>
  <si>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</si>
  <si>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</si>
  <si>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</si>
  <si>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</si>
  <si>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</si>
  <si>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</si>
  <si>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</si>
  <si>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</si>
  <si>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</si>
  <si>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</si>
  <si>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</si>
  <si>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</si>
  <si>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</si>
  <si>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</si>
  <si>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</si>
  <si>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</si>
  <si>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</si>
  <si>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</si>
  <si>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</si>
  <si>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</si>
  <si>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</si>
  <si>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</si>
  <si>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</si>
  <si>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</si>
  <si>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</si>
  <si>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</si>
  <si>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</si>
  <si>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</si>
  <si>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</si>
  <si>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</si>
  <si>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</si>
  <si>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</si>
  <si>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</si>
  <si>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</si>
  <si>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</si>
  <si>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</si>
  <si>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</si>
  <si>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</si>
  <si>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</si>
  <si>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</si>
  <si>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</si>
  <si>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</si>
  <si>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</si>
  <si>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</si>
  <si>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</si>
  <si>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</si>
  <si>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</si>
  <si>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</si>
  <si>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</si>
  <si>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</si>
  <si>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</si>
  <si>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</si>
  <si>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</si>
  <si>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</si>
  <si>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</si>
  <si>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</si>
  <si>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</si>
  <si>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</si>
  <si>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</si>
  <si>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</si>
  <si>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</si>
  <si>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</si>
  <si>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</si>
  <si>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</si>
  <si>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</si>
  <si>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</si>
  <si>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</si>
  <si>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</si>
  <si>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</si>
  <si>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</si>
  <si>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</si>
  <si>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</si>
  <si>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</si>
  <si>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</si>
  <si>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</si>
  <si>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</si>
  <si>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</si>
  <si>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</si>
  <si>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</si>
  <si>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</si>
  <si>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</si>
  <si>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</si>
  <si>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</si>
  <si>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</si>
  <si>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</si>
  <si>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</si>
  <si>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</si>
  <si>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</si>
  <si>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</si>
  <si>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</si>
  <si>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</si>
  <si>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</si>
  <si>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</si>
  <si>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</si>
  <si>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</si>
  <si>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</si>
  <si>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</si>
  <si>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</si>
  <si>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</si>
  <si>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</si>
  <si>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</si>
  <si>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</si>
  <si>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</si>
  <si>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</si>
  <si>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</si>
  <si>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</si>
  <si>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</si>
  <si>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</si>
  <si>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</si>
  <si>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</si>
  <si>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</si>
  <si>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</si>
  <si>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</si>
  <si>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</si>
  <si>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</si>
  <si>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</si>
  <si>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</si>
  <si>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</si>
  <si>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</si>
  <si>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</si>
  <si>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</si>
  <si>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</si>
  <si>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</si>
  <si>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</si>
  <si>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</si>
  <si>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</si>
  <si>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</si>
  <si>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</si>
  <si>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</si>
  <si>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</si>
  <si>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</si>
  <si>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</si>
  <si>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</si>
  <si>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</si>
  <si>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</si>
  <si>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</si>
  <si>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</si>
  <si>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</si>
  <si>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</si>
  <si>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</si>
  <si>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</si>
  <si>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</si>
  <si>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</si>
  <si>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</si>
  <si>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</si>
  <si>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</si>
  <si>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</si>
  <si>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</si>
  <si>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</si>
  <si>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</si>
  <si>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</si>
  <si>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</si>
  <si>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</si>
  <si>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</si>
  <si>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</si>
  <si>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</si>
  <si>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</si>
  <si>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</si>
  <si>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</si>
  <si>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</si>
  <si>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</si>
  <si>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</si>
  <si>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</si>
  <si>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</si>
  <si>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</si>
  <si>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</si>
  <si>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</si>
  <si>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</si>
  <si>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</si>
  <si>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</si>
  <si>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</si>
  <si>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</si>
  <si>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</si>
  <si>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</si>
  <si>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</si>
  <si>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</si>
  <si>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</si>
  <si>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</si>
  <si>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</si>
  <si>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</si>
  <si>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</si>
  <si>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</si>
  <si>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</si>
  <si>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</si>
  <si>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</si>
  <si>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</si>
  <si>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</si>
  <si>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</si>
  <si>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</si>
  <si>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</si>
  <si>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</si>
  <si>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</si>
  <si>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</si>
  <si>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</si>
  <si>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</si>
  <si>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</si>
  <si>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</si>
  <si>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</si>
  <si>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</si>
  <si>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</si>
  <si>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</si>
  <si>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</si>
  <si>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</si>
  <si>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</si>
  <si>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</si>
  <si>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</si>
  <si>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</si>
  <si>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</si>
  <si>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</si>
  <si>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</si>
  <si>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</si>
  <si>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</si>
  <si>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</si>
  <si>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</si>
  <si>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</si>
  <si>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</si>
  <si>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</si>
  <si>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</si>
  <si>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</si>
  <si>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</si>
  <si>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</si>
  <si>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</si>
  <si>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</si>
  <si>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</si>
  <si>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</si>
  <si>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</si>
  <si>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</si>
  <si>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</si>
  <si>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</si>
  <si>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</si>
  <si>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</si>
  <si>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</si>
  <si>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</si>
  <si>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</si>
  <si>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</si>
  <si>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</si>
  <si>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</si>
  <si>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</si>
  <si>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</si>
  <si>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</si>
  <si>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</si>
  <si>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</si>
  <si>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</si>
  <si>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</si>
  <si>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</si>
  <si>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</si>
  <si>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</si>
  <si>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</si>
  <si>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</si>
  <si>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</si>
  <si>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</si>
  <si>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</si>
  <si>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</si>
  <si>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</si>
  <si>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</si>
  <si>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</si>
  <si>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</si>
  <si>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</si>
  <si>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</si>
  <si>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</si>
  <si>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</si>
  <si>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</si>
  <si>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</si>
  <si>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</si>
  <si>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</si>
  <si>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</si>
  <si>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</si>
  <si>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</si>
  <si>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</si>
  <si>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</si>
  <si>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</si>
  <si>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</si>
  <si>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</si>
  <si>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</si>
  <si>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</si>
  <si>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</si>
  <si>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</si>
  <si>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</si>
  <si>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</si>
  <si>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</si>
  <si>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</si>
  <si>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</si>
  <si>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</si>
  <si>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</si>
  <si>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</si>
  <si>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</si>
  <si>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</si>
  <si>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</si>
  <si>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</si>
  <si>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</si>
  <si>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</si>
  <si>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</si>
  <si>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</si>
  <si>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</si>
  <si>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</si>
  <si>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</si>
  <si>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</si>
  <si>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</si>
  <si>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</si>
  <si>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</si>
  <si>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</si>
  <si>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</si>
  <si>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</si>
  <si>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</si>
  <si>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</si>
  <si>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</si>
  <si>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</si>
  <si>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</si>
  <si>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</si>
  <si>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</si>
  <si>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</si>
  <si>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</si>
  <si>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</si>
  <si>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</si>
  <si>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</si>
  <si>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</si>
  <si>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</si>
  <si>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</si>
  <si>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</si>
  <si>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</si>
  <si>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</si>
  <si>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</si>
  <si>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</si>
  <si>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</si>
  <si>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</si>
  <si>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</si>
  <si>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</si>
  <si>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</si>
  <si>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</si>
  <si>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</si>
  <si>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</si>
  <si>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</si>
  <si>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</si>
  <si>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</si>
  <si>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</si>
  <si>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</si>
  <si>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</si>
  <si>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</si>
  <si>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</si>
  <si>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</si>
  <si>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</si>
  <si>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</si>
  <si>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</si>
  <si>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</si>
  <si>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</si>
  <si>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</si>
  <si>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</si>
  <si>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</si>
  <si>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</si>
  <si>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</si>
  <si>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</si>
  <si>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</si>
  <si>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</si>
  <si>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</si>
  <si>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</si>
  <si>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</si>
  <si>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</si>
  <si>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</si>
  <si>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</si>
  <si>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</si>
  <si>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</si>
  <si>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</si>
  <si>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</si>
  <si>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</si>
  <si>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</si>
  <si>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</si>
  <si>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</si>
  <si>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</si>
  <si>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</si>
  <si>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</si>
  <si>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</si>
  <si>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</si>
  <si>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</si>
  <si>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</si>
  <si>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</si>
  <si>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</si>
  <si>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</si>
  <si>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</si>
  <si>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</si>
  <si>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</si>
  <si>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</si>
  <si>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</si>
  <si>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</si>
  <si>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</si>
  <si>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</si>
  <si>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</si>
  <si>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</si>
  <si>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</si>
  <si>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</si>
  <si>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</si>
  <si>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</si>
  <si>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</si>
  <si>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</si>
  <si>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</si>
  <si>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</si>
  <si>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</si>
  <si>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</si>
  <si>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</si>
  <si>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</si>
  <si>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</si>
  <si>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</si>
  <si>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</si>
  <si>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</si>
  <si>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</si>
  <si>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</si>
  <si>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</si>
  <si>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</si>
  <si>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</si>
  <si>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</si>
  <si>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</si>
  <si>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</si>
  <si>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</si>
  <si>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</si>
  <si>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</si>
  <si>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</si>
  <si>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</si>
  <si>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</si>
  <si>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</si>
  <si>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</si>
  <si>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</si>
  <si>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</si>
  <si>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</si>
  <si>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</si>
  <si>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</si>
  <si>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</si>
  <si>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</si>
  <si>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</si>
  <si>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</si>
  <si>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</si>
  <si>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</si>
  <si>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</si>
  <si>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</si>
  <si>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</si>
  <si>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</si>
  <si>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</si>
  <si>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</si>
  <si>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</si>
  <si>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</si>
  <si>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</si>
  <si>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</si>
  <si>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</si>
  <si>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</si>
  <si>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</si>
  <si>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</si>
  <si>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</si>
  <si>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</si>
  <si>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</si>
  <si>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</si>
  <si>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</si>
  <si>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</si>
  <si>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</si>
  <si>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</si>
  <si>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</si>
  <si>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</si>
  <si>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</si>
  <si>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</si>
  <si>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</si>
  <si>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</si>
  <si>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</si>
  <si>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</si>
  <si>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</si>
  <si>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</si>
  <si>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</si>
  <si>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</si>
  <si>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</si>
  <si>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</si>
  <si>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</si>
  <si>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</si>
  <si>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</si>
  <si>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</si>
  <si>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</si>
  <si>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</si>
  <si>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</si>
  <si>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</si>
  <si>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</si>
  <si>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</si>
  <si>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</si>
  <si>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</si>
  <si>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</si>
  <si>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</si>
  <si>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</si>
  <si>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</si>
  <si>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</si>
  <si>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</si>
  <si>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</si>
  <si>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</si>
  <si>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</si>
  <si>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</si>
  <si>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</si>
  <si>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</si>
  <si>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</si>
  <si>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</si>
  <si>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</si>
  <si>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</si>
  <si>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</si>
  <si>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</si>
  <si>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</si>
  <si>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</si>
  <si>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</si>
  <si>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</si>
  <si>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</si>
  <si>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</si>
  <si>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</si>
  <si>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</si>
  <si>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</si>
  <si>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</si>
  <si>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</si>
  <si>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</si>
  <si>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</si>
  <si>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</si>
  <si>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</si>
  <si>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</si>
  <si>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</si>
  <si>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</si>
  <si>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</si>
  <si>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</si>
  <si>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</si>
  <si>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</si>
  <si>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</si>
  <si>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</si>
  <si>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</si>
  <si>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</si>
  <si>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</si>
  <si>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</si>
  <si>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</si>
  <si>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</si>
  <si>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</si>
  <si>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</si>
  <si>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</si>
  <si>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</si>
  <si>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</si>
  <si>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</si>
  <si>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</si>
  <si>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</si>
  <si>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</si>
  <si>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</si>
  <si>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</si>
  <si>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</si>
  <si>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</si>
  <si>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</si>
  <si>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</si>
  <si>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</si>
  <si>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</si>
  <si>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</si>
  <si>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</si>
  <si>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</si>
  <si>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</si>
  <si>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</si>
  <si>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</si>
  <si>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</si>
  <si>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</si>
  <si>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</si>
  <si>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</si>
  <si>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</si>
  <si>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</si>
  <si>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</si>
  <si>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</si>
  <si>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</si>
  <si>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</si>
  <si>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</si>
  <si>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</si>
  <si>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</si>
  <si>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</si>
  <si>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</si>
  <si>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</si>
  <si>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</si>
  <si>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</si>
  <si>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</si>
  <si>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</si>
  <si>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</si>
  <si>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</si>
  <si>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</si>
  <si>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</si>
  <si>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</si>
  <si>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</si>
  <si>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</si>
  <si>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</si>
  <si>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</si>
  <si>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</si>
  <si>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</si>
  <si>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</si>
  <si>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</si>
  <si>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</si>
  <si>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</si>
  <si>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</si>
  <si>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</si>
  <si>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</si>
  <si>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</si>
  <si>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</si>
  <si>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</si>
  <si>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</si>
  <si>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</si>
  <si>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</si>
  <si>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</si>
  <si>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</si>
  <si>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</si>
  <si>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</si>
  <si>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</si>
  <si>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</si>
  <si>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</si>
  <si>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</si>
  <si>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</si>
  <si>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</si>
  <si>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</si>
  <si>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</si>
  <si>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</si>
  <si>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</si>
  <si>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</si>
  <si>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</si>
  <si>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</si>
  <si>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</si>
  <si>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</si>
  <si>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</si>
  <si>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</si>
  <si>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</si>
  <si>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</si>
  <si>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</si>
  <si>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</si>
  <si>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</si>
  <si>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</si>
  <si>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</si>
  <si>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</si>
  <si>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</si>
  <si>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</si>
  <si>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</si>
  <si>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</si>
  <si>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</si>
  <si>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</si>
  <si>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</si>
  <si>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</si>
  <si>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</si>
  <si>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</si>
  <si>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</si>
  <si>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</si>
  <si>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</si>
  <si>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</si>
  <si>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</si>
  <si>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</si>
  <si>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</si>
  <si>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</si>
  <si>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</si>
  <si>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</si>
  <si>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</si>
  <si>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</si>
  <si>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</si>
  <si>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</si>
  <si>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</si>
  <si>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</si>
  <si>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</si>
  <si>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</si>
  <si>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</si>
  <si>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</si>
  <si>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</si>
  <si>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</si>
  <si>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</si>
  <si>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</si>
  <si>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</si>
  <si>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</si>
  <si>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</si>
  <si>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</si>
  <si>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</si>
  <si>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</si>
  <si>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</si>
  <si>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</si>
  <si>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</si>
  <si>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</si>
  <si>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</si>
  <si>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</si>
  <si>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</si>
  <si>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</si>
  <si>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</si>
  <si>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</si>
  <si>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</si>
  <si>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</si>
  <si>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</si>
  <si>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</si>
  <si>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</si>
  <si>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</si>
  <si>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</si>
  <si>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</si>
  <si>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</si>
  <si>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</si>
  <si>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</si>
  <si>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</si>
  <si>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</si>
  <si>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</si>
  <si>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</si>
  <si>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</si>
  <si>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</si>
  <si>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</si>
  <si>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</si>
  <si>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</si>
  <si>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</si>
  <si>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</si>
  <si>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</si>
  <si>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</si>
  <si>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</si>
  <si>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</si>
  <si>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</si>
  <si>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</si>
  <si>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</si>
  <si>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</si>
  <si>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</si>
  <si>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</si>
  <si>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</si>
  <si>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</si>
  <si>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</si>
  <si>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</si>
  <si>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</si>
  <si>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</si>
  <si>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</si>
  <si>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</si>
  <si>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</si>
  <si>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</si>
  <si>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</si>
  <si>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</si>
  <si>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</si>
  <si>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</si>
  <si>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</si>
  <si>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</si>
  <si>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</si>
  <si>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</si>
  <si>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</si>
  <si>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</si>
  <si>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</si>
  <si>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</si>
  <si>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</si>
  <si>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</si>
  <si>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</si>
  <si>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</si>
  <si>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</si>
  <si>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</si>
  <si>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</si>
  <si>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</si>
  <si>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</si>
  <si>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</si>
  <si>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</si>
  <si>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</si>
  <si>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</si>
  <si>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</si>
  <si>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</si>
  <si>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</si>
  <si>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</si>
  <si>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</si>
  <si>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</si>
  <si>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</si>
  <si>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</si>
  <si>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</si>
  <si>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</si>
  <si>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</si>
  <si>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</si>
  <si>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</si>
  <si>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</si>
  <si>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</si>
  <si>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</si>
  <si>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</si>
  <si>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</si>
  <si>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</si>
  <si>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</si>
  <si>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</si>
  <si>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</si>
  <si>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</si>
  <si>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</si>
  <si>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</si>
  <si>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</si>
  <si>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</si>
  <si>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</si>
  <si>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</si>
  <si>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</si>
  <si>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</si>
  <si>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</si>
  <si>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</si>
  <si>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</si>
  <si>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</si>
  <si>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</si>
  <si>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</si>
  <si>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</si>
  <si>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</si>
  <si>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</si>
  <si>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</si>
  <si>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</si>
  <si>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</si>
  <si>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</si>
  <si>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</si>
  <si>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</si>
  <si>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</si>
  <si>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</si>
  <si>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</si>
  <si>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</si>
  <si>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</si>
  <si>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</si>
  <si>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</si>
  <si>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</si>
  <si>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</si>
  <si>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</si>
  <si>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</si>
  <si>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</si>
  <si>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</si>
  <si>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</si>
  <si>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</si>
  <si>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</si>
  <si>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</si>
  <si>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</si>
  <si>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</si>
  <si>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</si>
  <si>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</si>
  <si>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</si>
  <si>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</si>
  <si>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</si>
  <si>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</si>
  <si>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</si>
  <si>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</si>
  <si>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</si>
  <si>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</si>
  <si>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</si>
  <si>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</si>
  <si>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</si>
  <si>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</si>
  <si>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</si>
  <si>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</si>
  <si>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</si>
  <si>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</si>
  <si>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</si>
  <si>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</si>
  <si>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</si>
  <si>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</si>
  <si>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</si>
  <si>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</si>
  <si>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</si>
  <si>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</si>
  <si>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</si>
  <si>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</si>
  <si>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</si>
  <si>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</si>
  <si>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</si>
  <si>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</si>
  <si>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</si>
  <si>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</si>
  <si>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</si>
  <si>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</si>
  <si>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</si>
  <si>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</si>
  <si>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</si>
  <si>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</si>
  <si>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</si>
  <si>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</si>
  <si>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</si>
  <si>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</si>
  <si>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</si>
  <si>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</si>
  <si>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</si>
  <si>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</si>
  <si>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</si>
  <si>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</si>
  <si>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</si>
  <si>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</si>
  <si>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</si>
  <si>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</si>
  <si>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</si>
  <si>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</si>
  <si>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</si>
  <si>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</si>
  <si>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</si>
  <si>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</si>
  <si>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</si>
  <si>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</si>
  <si>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</si>
  <si>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</si>
  <si>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</si>
  <si>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</si>
  <si>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</si>
  <si>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</si>
  <si>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</si>
  <si>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</si>
  <si>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</si>
  <si>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</si>
  <si>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</si>
  <si>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</si>
  <si>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</si>
  <si>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</si>
  <si>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</si>
  <si>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</si>
  <si>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</si>
  <si>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</si>
  <si>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</si>
  <si>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</si>
  <si>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</si>
  <si>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</si>
  <si>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</si>
  <si>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</si>
  <si>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</si>
  <si>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</si>
  <si>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</si>
  <si>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</si>
  <si>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</si>
  <si>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</si>
  <si>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</si>
  <si>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</si>
  <si>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</si>
  <si>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</si>
  <si>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</si>
  <si>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</si>
  <si>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</si>
  <si>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</si>
  <si>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</si>
  <si>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</si>
  <si>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</si>
  <si>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</si>
  <si>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</si>
  <si>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</si>
  <si>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</si>
  <si>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</si>
  <si>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</si>
  <si>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</si>
  <si>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</si>
  <si>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</si>
  <si>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</si>
  <si>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</si>
  <si>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</si>
  <si>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</si>
  <si>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</si>
  <si>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</si>
  <si>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</si>
  <si>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</si>
  <si>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</si>
  <si>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</si>
  <si>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</si>
  <si>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</si>
  <si>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</si>
  <si>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</si>
  <si>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</si>
  <si>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</si>
  <si>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</si>
  <si>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</si>
  <si>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</si>
  <si>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</si>
  <si>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</si>
  <si>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</si>
  <si>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</si>
  <si>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</si>
  <si>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</si>
  <si>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</si>
  <si>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</si>
  <si>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</si>
  <si>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</si>
  <si>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</si>
  <si>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</si>
  <si>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</si>
  <si>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</si>
  <si>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</si>
  <si>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</si>
  <si>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</si>
  <si>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</si>
  <si>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</si>
  <si>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</si>
  <si>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</si>
  <si>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</si>
  <si>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</si>
  <si>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</si>
  <si>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</si>
  <si>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</si>
  <si>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</si>
  <si>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</si>
  <si>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</si>
  <si>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</si>
  <si>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</si>
  <si>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</si>
  <si>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</si>
  <si>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</si>
  <si>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</si>
  <si>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</si>
  <si>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</si>
  <si>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</si>
  <si>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</si>
  <si>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</si>
  <si>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</si>
  <si>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</si>
  <si>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</si>
  <si>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</si>
  <si>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</si>
  <si>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</si>
  <si>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</si>
  <si>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</si>
  <si>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</si>
  <si>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</si>
  <si>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</si>
  <si>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</si>
  <si>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</si>
  <si>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</si>
  <si>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</si>
  <si>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</si>
  <si>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全指金融</t>
    <rPh sb="0" eb="1">
      <t>quan'zhi'j'r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</si>
</sst>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10" fontId="2" fillId="0" borderId="0" xfId="1" applyNumberFormat="1" applyFo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</cellXfs>
  <cellStyles count="103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</cellStyles>
  <dxfs count="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0.27878688749999986</c:v>
                </c:pt>
                <c:pt idx="1">
                  <c:v>0.69876685000000005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5.8900000000000001E-2</c:v>
                </c:pt>
                <c:pt idx="1">
                  <c:v>3.9856999999999997E-2</c:v>
                </c:pt>
                <c:pt idx="2">
                  <c:v>0.21911088749999999</c:v>
                </c:pt>
                <c:pt idx="3">
                  <c:v>4.9623162499999998E-2</c:v>
                </c:pt>
                <c:pt idx="4">
                  <c:v>1.6085612499999999E-2</c:v>
                </c:pt>
                <c:pt idx="5">
                  <c:v>6.1076224999999998E-2</c:v>
                </c:pt>
                <c:pt idx="6">
                  <c:v>5.6750000000000002E-2</c:v>
                </c:pt>
                <c:pt idx="7">
                  <c:v>6.0069037499999992E-2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10.524789597571802</c:v>
                </c:pt>
                <c:pt idx="1">
                  <c:v>11.575314344975054</c:v>
                </c:pt>
                <c:pt idx="2">
                  <c:v>22.230563942428397</c:v>
                </c:pt>
                <c:pt idx="3">
                  <c:v>27.879094340821993</c:v>
                </c:pt>
                <c:pt idx="4">
                  <c:v>32.867864898595826</c:v>
                </c:pt>
                <c:pt idx="5">
                  <c:v>28.215738515651225</c:v>
                </c:pt>
                <c:pt idx="6">
                  <c:v>23.961199023228993</c:v>
                </c:pt>
                <c:pt idx="7">
                  <c:v>24.752727715657713</c:v>
                </c:pt>
                <c:pt idx="8">
                  <c:v>29.300671962284529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0.2747</c:v>
                </c:pt>
                <c:pt idx="1">
                  <c:v>0.71190000000000009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1.1365241513750001E-2</c:v>
                </c:pt>
                <c:pt idx="1">
                  <c:v>5.3811431077499999E-2</c:v>
                </c:pt>
                <c:pt idx="2">
                  <c:v>0.11918286947874999</c:v>
                </c:pt>
                <c:pt idx="3">
                  <c:v>7.6992721956249996E-2</c:v>
                </c:pt>
                <c:pt idx="4">
                  <c:v>3.1456937638750002E-2</c:v>
                </c:pt>
                <c:pt idx="5">
                  <c:v>0.107861590195</c:v>
                </c:pt>
                <c:pt idx="6">
                  <c:v>0.15371955681125002</c:v>
                </c:pt>
                <c:pt idx="7">
                  <c:v>7.5959240501250011E-2</c:v>
                </c:pt>
                <c:pt idx="8">
                  <c:v>5.841367018749999E-3</c:v>
                </c:pt>
                <c:pt idx="9">
                  <c:v>2.6363448349999999E-2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1.120173E-2</c:v>
                </c:pt>
                <c:pt idx="1">
                  <c:v>3.9125990000000006E-2</c:v>
                </c:pt>
                <c:pt idx="2">
                  <c:v>0.10271703000000001</c:v>
                </c:pt>
                <c:pt idx="3">
                  <c:v>6.5978250000000016E-2</c:v>
                </c:pt>
                <c:pt idx="4">
                  <c:v>3.198848E-2</c:v>
                </c:pt>
                <c:pt idx="5">
                  <c:v>9.9665850000000014E-2</c:v>
                </c:pt>
                <c:pt idx="6">
                  <c:v>0.18537292000000002</c:v>
                </c:pt>
                <c:pt idx="7">
                  <c:v>5.6698750000000006E-2</c:v>
                </c:pt>
                <c:pt idx="8">
                  <c:v>3.7004100000000003E-3</c:v>
                </c:pt>
                <c:pt idx="9">
                  <c:v>2.6684090000000001E-2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6"/>
  <sheetViews>
    <sheetView zoomScale="90" zoomScaleNormal="90" zoomScalePageLayoutView="90" workbookViewId="0">
      <selection activeCell="T82" sqref="T82:W127"/>
    </sheetView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5" bestFit="1" customWidth="1"/>
    <col min="19" max="22" width="11.5" customWidth="1"/>
    <col min="23" max="23" width="9.625" bestFit="1" customWidth="1"/>
    <col min="25" max="25" width="11" bestFit="1" customWidth="1"/>
  </cols>
  <sheetData>
    <row r="1" spans="1:27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-8.9349544744791634E-2</v>
      </c>
      <c r="T2" s="18" t="s">
        <v>213</v>
      </c>
      <c r="U2" s="18">
        <f>(SUM(S4:S6) - SUM(Q4:Q6))/SUM(Q4:Q6)</f>
        <v>-0.14538807172385393</v>
      </c>
    </row>
    <row r="3" spans="1:27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28.734787342139644</v>
      </c>
      <c r="I3" s="21">
        <f>$F3*$V$20</f>
        <v>3.5393816228770505</v>
      </c>
      <c r="J3" s="21">
        <f t="shared" ref="J3:J66" si="0">H3*(-$M3)</f>
        <v>212637.42633183335</v>
      </c>
      <c r="K3" s="21">
        <f t="shared" ref="K3:K66" si="1">I3*(-$M3)</f>
        <v>26191.424009290175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10.001239701843859</v>
      </c>
      <c r="I4" s="21">
        <f>F4*$V$13</f>
        <v>1.1829423303256179</v>
      </c>
      <c r="J4" s="21">
        <f t="shared" si="0"/>
        <v>39604.909219301684</v>
      </c>
      <c r="K4" s="21">
        <f t="shared" si="1"/>
        <v>4684.4516280894468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206235.11000000002</v>
      </c>
      <c r="R4" s="52">
        <v>-10246.49</v>
      </c>
      <c r="S4" s="69">
        <f>Q4+R4</f>
        <v>195988.62000000002</v>
      </c>
      <c r="T4" s="26">
        <f>S4/Q4-1</f>
        <v>-4.9683538365509095E-2</v>
      </c>
    </row>
    <row r="5" spans="1:27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23.752186023979654</v>
      </c>
      <c r="I5" s="21">
        <f>E5*$V$21</f>
        <v>3.0329356909289089</v>
      </c>
      <c r="J5" s="21">
        <f t="shared" si="0"/>
        <v>94058.656654959428</v>
      </c>
      <c r="K5" s="21">
        <f t="shared" si="1"/>
        <v>12010.425336078479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-3896.75</v>
      </c>
      <c r="S5" s="69">
        <f>Q5+R5</f>
        <v>8103.25</v>
      </c>
      <c r="T5" s="26">
        <f>S5/Q5-1</f>
        <v>-0.32472916666666662</v>
      </c>
    </row>
    <row r="6" spans="1:27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f>-71288.46</f>
        <v>-71288.460000000006</v>
      </c>
      <c r="S6" s="69">
        <f>Q6+R6</f>
        <v>298087.90999999997</v>
      </c>
      <c r="T6" s="26">
        <f>S6/Q6-1</f>
        <v>-0.19299680702368704</v>
      </c>
      <c r="W6" s="72"/>
    </row>
    <row r="7" spans="1:27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29.97757149078241</v>
      </c>
      <c r="I7" s="21">
        <f>F7*$V$20</f>
        <v>3.6924604441863846</v>
      </c>
      <c r="J7" s="21">
        <f t="shared" si="0"/>
        <v>118711.18310349835</v>
      </c>
      <c r="K7" s="21">
        <f t="shared" si="1"/>
        <v>14622.143358978083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212388.52000000002</v>
      </c>
      <c r="R7" s="11">
        <f>W57</f>
        <v>13952.064204166669</v>
      </c>
      <c r="S7" s="11">
        <f>Q7+R7</f>
        <v>226340.58420416669</v>
      </c>
      <c r="T7" s="26">
        <f>S7/Q7-1</f>
        <v>6.5691235120272307E-2</v>
      </c>
    </row>
    <row r="8" spans="1:27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24.6978176093012</v>
      </c>
      <c r="I8" s="21">
        <f>E8*$V$21</f>
        <v>3.1536841467845464</v>
      </c>
      <c r="J8" s="21">
        <f t="shared" si="0"/>
        <v>97803.357732832752</v>
      </c>
      <c r="K8" s="21">
        <f t="shared" si="1"/>
        <v>12488.589221266804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24.588896693714425</v>
      </c>
      <c r="I10" s="21">
        <f>E10*$V$21</f>
        <v>3.1397759476807554</v>
      </c>
      <c r="J10" s="21">
        <f t="shared" si="0"/>
        <v>97372.030907109118</v>
      </c>
      <c r="K10" s="21">
        <f t="shared" si="1"/>
        <v>12433.512752815792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29.645651976374374</v>
      </c>
      <c r="I11" s="21">
        <f>F11*$V$19</f>
        <v>3.6515765561108586</v>
      </c>
      <c r="J11" s="21">
        <f t="shared" si="0"/>
        <v>118392.8757328487</v>
      </c>
      <c r="K11" s="21">
        <f t="shared" si="1"/>
        <v>14582.936134484326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43397</v>
      </c>
      <c r="T11" s="2"/>
      <c r="U11" s="2"/>
      <c r="V11" s="74"/>
      <c r="W11" s="2"/>
    </row>
    <row r="12" spans="1:27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24.878539739996022</v>
      </c>
      <c r="I12" s="21">
        <f>F12*$V$16</f>
        <v>2.2733838038272229</v>
      </c>
      <c r="J12" s="21">
        <f t="shared" si="0"/>
        <v>96717.313522413737</v>
      </c>
      <c r="K12" s="21">
        <f t="shared" si="1"/>
        <v>8837.9614080826359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29.668668786915035</v>
      </c>
      <c r="I13" s="21">
        <f>F13*$V$19</f>
        <v>3.6544116310767829</v>
      </c>
      <c r="J13" s="21">
        <f t="shared" si="0"/>
        <v>118576.76854066331</v>
      </c>
      <c r="K13" s="21">
        <f t="shared" si="1"/>
        <v>14605.586965924578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2.5489999999999999</v>
      </c>
      <c r="S13" s="57">
        <v>10.23</v>
      </c>
      <c r="T13" s="58">
        <f t="shared" ref="T13:T25" si="2">S13/R13</f>
        <v>4.013338564142801</v>
      </c>
      <c r="U13" s="57">
        <v>1.21</v>
      </c>
      <c r="V13" s="58">
        <f>U13/R13</f>
        <v>0.47469595919968616</v>
      </c>
      <c r="W13" s="87">
        <v>0.1182</v>
      </c>
      <c r="X13" s="75">
        <f>SUMIF(C:C,"=红利",J:J)/SUMIF(C:C,"=红利",M:M)*-1</f>
        <v>10.524789597571802</v>
      </c>
      <c r="Y13" s="75">
        <f>SUMIF(C:C,"=红利",K:K)/SUMIF(C:C,"=红利",M:M)*-1</f>
        <v>1.2448675868095682</v>
      </c>
      <c r="Z13" s="59">
        <f>(SUMIF(C:C,"=红利",M:M)*-1)/$Q$2</f>
        <v>5.8900000000000001E-2</v>
      </c>
      <c r="AA13" s="2"/>
    </row>
    <row r="14" spans="1:27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23.342353278742799</v>
      </c>
      <c r="I14" s="21">
        <f>F14*$V$16</f>
        <v>2.1330081444368418</v>
      </c>
      <c r="J14" s="21">
        <f t="shared" si="0"/>
        <v>85124.893936919238</v>
      </c>
      <c r="K14" s="21">
        <f t="shared" si="1"/>
        <v>7778.6541011322752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2.516</v>
      </c>
      <c r="S14" s="57">
        <v>9.66</v>
      </c>
      <c r="T14" s="58">
        <f t="shared" si="2"/>
        <v>3.8394276629570747</v>
      </c>
      <c r="U14" s="57">
        <v>1.21</v>
      </c>
      <c r="V14" s="58">
        <f t="shared" ref="V14:V34" si="3">U14/R14</f>
        <v>0.48092209856915735</v>
      </c>
      <c r="W14" s="87">
        <v>0.125</v>
      </c>
      <c r="X14" s="75">
        <f>SUMIF(C:C,"=50ETF",J:J)/SUMIF(C:C,"=50ETF",M:M)*-1</f>
        <v>9.1608744038155816</v>
      </c>
      <c r="Y14" s="75">
        <f>SUMIF(C:C,"=50ETF",K:K)/SUMIF(C:C,"=50ETF",M:M)*-1</f>
        <v>1.1474801271860096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24.653259052924792</v>
      </c>
      <c r="I15" s="21">
        <f>E15*$V$21</f>
        <v>3.1479944289693593</v>
      </c>
      <c r="J15" s="21">
        <f t="shared" si="0"/>
        <v>195253.81169916436</v>
      </c>
      <c r="K15" s="21">
        <f t="shared" si="1"/>
        <v>24932.115877437325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3.2456</v>
      </c>
      <c r="S15" s="57">
        <v>10.88</v>
      </c>
      <c r="T15" s="58">
        <f t="shared" si="2"/>
        <v>3.3522307123490265</v>
      </c>
      <c r="U15" s="57">
        <v>1.35</v>
      </c>
      <c r="V15" s="58">
        <f t="shared" si="3"/>
        <v>0.41594774463889578</v>
      </c>
      <c r="W15" s="87">
        <v>0.1244</v>
      </c>
      <c r="X15" s="75">
        <f>SUMIF(C:C,"=300ETF",J:J)/SUMIF(C:C,"=300ETF",M:M)*-1</f>
        <v>11.575314344975054</v>
      </c>
      <c r="Y15" s="75">
        <f>SUMIF(C:C,"=300ETF",K:K)/SUMIF(C:C,"=300ETF",M:M)*-1</f>
        <v>1.436275217437162</v>
      </c>
      <c r="Z15" s="59">
        <f>(SUMIF(C:C,"=300ETF",M:M)*-1)/$Q$2</f>
        <v>3.9856999999999997E-2</v>
      </c>
      <c r="AA15" s="2"/>
    </row>
    <row r="16" spans="1:27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28.909114039073145</v>
      </c>
      <c r="I16" s="21">
        <f>F16*$V$19</f>
        <v>3.560854157201272</v>
      </c>
      <c r="J16" s="21">
        <f t="shared" si="0"/>
        <v>112560.5264225352</v>
      </c>
      <c r="K16" s="21">
        <f t="shared" si="1"/>
        <v>13864.541746478872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4.5307000000000004</v>
      </c>
      <c r="S16" s="57">
        <v>17.399999999999999</v>
      </c>
      <c r="T16" s="58">
        <f t="shared" si="2"/>
        <v>3.8404661531330695</v>
      </c>
      <c r="U16" s="57">
        <v>1.59</v>
      </c>
      <c r="V16" s="58">
        <f t="shared" si="3"/>
        <v>0.35093914847595292</v>
      </c>
      <c r="W16" s="87">
        <v>9.1300000000000006E-2</v>
      </c>
      <c r="X16" s="75">
        <f>SUMIF(C:C,"=500ETF",J:J)/SUMIF(C:C,"=500ETF",M:M)*-1</f>
        <v>22.230563942428397</v>
      </c>
      <c r="Y16" s="75">
        <f>SUMIF(C:C,"=500ETF",K:K)/SUMIF(C:C,"=500ETF",M:M)*-1</f>
        <v>2.0314136016356987</v>
      </c>
      <c r="Z16" s="59">
        <f>(SUMIF(C:C,"=500ETF",M:M)*-1)/$Q$2</f>
        <v>0.21911088749999999</v>
      </c>
      <c r="AA16" s="2"/>
    </row>
    <row r="17" spans="1:27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0.52459999999999996</v>
      </c>
      <c r="S17" s="57">
        <v>19.93</v>
      </c>
      <c r="T17" s="58">
        <f t="shared" si="2"/>
        <v>37.990850171559288</v>
      </c>
      <c r="U17" s="57">
        <v>1.8</v>
      </c>
      <c r="V17" s="58">
        <f t="shared" si="3"/>
        <v>3.4311856652687767</v>
      </c>
      <c r="W17" s="87">
        <v>9.01E-2</v>
      </c>
      <c r="X17" s="75">
        <f>SUMIF(C:C,"=1000ETF",J:J)/SUMIF(C:C,"=1000ETF",M:M)*-1</f>
        <v>27.879094340821993</v>
      </c>
      <c r="Y17" s="75">
        <f>SUMIF(C:C,"=1000ETF",K:K)/SUMIF(C:C,"=1000ETF",M:M)*-1</f>
        <v>2.5179312500491515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10.189866614358571</v>
      </c>
      <c r="I18" s="21">
        <f>F18*$V$13</f>
        <v>1.2052530404080033</v>
      </c>
      <c r="J18" s="21">
        <f t="shared" si="0"/>
        <v>40351.871792859944</v>
      </c>
      <c r="K18" s="21">
        <f t="shared" si="1"/>
        <v>4772.8020400156929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1.2334000000000001</v>
      </c>
      <c r="S18" s="57">
        <v>28.92</v>
      </c>
      <c r="T18" s="58">
        <f t="shared" si="2"/>
        <v>23.447381222636615</v>
      </c>
      <c r="U18" s="57">
        <v>3.44</v>
      </c>
      <c r="V18" s="58">
        <f t="shared" si="3"/>
        <v>2.7890384303551157</v>
      </c>
      <c r="W18" s="87">
        <v>0.11890000000000001</v>
      </c>
      <c r="X18" s="75">
        <f>SUMIF(C:C,"=创业板",J:J)/SUMIF(C:C,"=创业板",M:M)*-1</f>
        <v>32.867864898595826</v>
      </c>
      <c r="Y18" s="75">
        <f>SUMIF(C:C,"=创业板",K:K)/SUMIF(C:C,"=创业板",M:M)*-1</f>
        <v>3.9095938883530295</v>
      </c>
      <c r="Z18" s="59">
        <f>(SUMIF(C:C,"=创业板",M:M)*-1)/$Q$2</f>
        <v>1.6085612499999999E-2</v>
      </c>
      <c r="AA18" s="2"/>
    </row>
    <row r="19" spans="1:27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1.1005</v>
      </c>
      <c r="S19" s="57">
        <v>25.33</v>
      </c>
      <c r="T19" s="58">
        <f t="shared" si="2"/>
        <v>23.016810540663332</v>
      </c>
      <c r="U19" s="57">
        <v>3.12</v>
      </c>
      <c r="V19" s="58">
        <f t="shared" si="3"/>
        <v>2.8350749659245795</v>
      </c>
      <c r="W19" s="87">
        <v>0.1231</v>
      </c>
      <c r="X19" s="75">
        <f>SUMIF(C:C,"=医药",J:J)/SUMIF(C:C,"=医药",M:M)*-1</f>
        <v>28.215738515651225</v>
      </c>
      <c r="Y19" s="75">
        <f>SUMIF(C:C,"=医药",K:K)/SUMIF(C:C,"=医药",M:M)*-1</f>
        <v>3.4754482498551846</v>
      </c>
      <c r="Z19" s="99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25.289469618381261</v>
      </c>
      <c r="I20" s="21">
        <f>F20*$V$16</f>
        <v>2.3109342927141499</v>
      </c>
      <c r="J20" s="21">
        <f t="shared" si="0"/>
        <v>199877.34628644577</v>
      </c>
      <c r="K20" s="21">
        <f t="shared" si="1"/>
        <v>18264.6540572097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0.68889999999999996</v>
      </c>
      <c r="S20" s="57">
        <v>25.33</v>
      </c>
      <c r="T20" s="58">
        <f t="shared" si="2"/>
        <v>36.768761794164611</v>
      </c>
      <c r="U20" s="57">
        <v>3.12</v>
      </c>
      <c r="V20" s="58">
        <f t="shared" si="3"/>
        <v>4.5289592103353176</v>
      </c>
      <c r="W20" s="87">
        <v>0.1231</v>
      </c>
      <c r="X20" s="75">
        <f>SUMIF(C:C,"=医药",J:J)/SUMIF(C:C,"=医药",M:M)*-1</f>
        <v>28.215738515651225</v>
      </c>
      <c r="Y20" s="75">
        <f>SUMIF(C:C,"=医药",K:K)/SUMIF(C:C,"=医药",M:M)*-1</f>
        <v>3.4754482498551846</v>
      </c>
      <c r="Z20" s="100"/>
      <c r="AA20" s="2"/>
    </row>
    <row r="21" spans="1:27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28.92031591988437</v>
      </c>
      <c r="I21" s="21">
        <f>F21*$V$24</f>
        <v>2.4748048730125953</v>
      </c>
      <c r="J21" s="21">
        <f t="shared" si="0"/>
        <v>115681.26367953749</v>
      </c>
      <c r="K21" s="21">
        <f t="shared" si="1"/>
        <v>9899.2194920503807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0.82569999999999999</v>
      </c>
      <c r="S21" s="57">
        <v>20.440000000000001</v>
      </c>
      <c r="T21" s="58">
        <f t="shared" si="2"/>
        <v>24.754753542448832</v>
      </c>
      <c r="U21" s="57">
        <v>2.61</v>
      </c>
      <c r="V21" s="58">
        <f t="shared" si="3"/>
        <v>3.1609543417706187</v>
      </c>
      <c r="W21" s="87">
        <v>0.12759999999999999</v>
      </c>
      <c r="X21" s="75">
        <f>SUMIF(C:C,"=养老",J:J)/SUMIF(C:C,"=养老",M:M)*-1</f>
        <v>23.961199023228993</v>
      </c>
      <c r="Y21" s="75">
        <f>SUMIF(C:C,"=养老",K:K)/SUMIF(C:C,"=养老",M:M)*-1</f>
        <v>3.0137727881669214</v>
      </c>
      <c r="Z21" s="59">
        <f>(SUMIF(C:C,"=养老",M:M)*-1)/$Q$2</f>
        <v>5.6750000000000002E-2</v>
      </c>
      <c r="AA21" s="2"/>
    </row>
    <row r="22" spans="1:27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24.73260202617697</v>
      </c>
      <c r="I22" s="21">
        <f t="shared" ref="I22:I23" si="4">F22*$V$16</f>
        <v>2.2600481161851369</v>
      </c>
      <c r="J22" s="21">
        <f t="shared" si="0"/>
        <v>95585.818332707961</v>
      </c>
      <c r="K22" s="21">
        <f t="shared" si="1"/>
        <v>8734.566157988831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0.70499999999999996</v>
      </c>
      <c r="S22" s="57">
        <v>19.12</v>
      </c>
      <c r="T22" s="58">
        <f t="shared" si="2"/>
        <v>27.120567375886527</v>
      </c>
      <c r="U22" s="57">
        <v>1.17</v>
      </c>
      <c r="V22" s="58">
        <f t="shared" si="3"/>
        <v>1.6595744680851063</v>
      </c>
      <c r="W22" s="87">
        <v>6.0999999999999999E-2</v>
      </c>
      <c r="X22" s="75">
        <f>SUMIF(C:C,"=证券",J:J)/SUMIF(C:C,"=证券",M:M)*-1</f>
        <v>21.611853717684099</v>
      </c>
      <c r="Y22" s="75">
        <f>SUMIF(C:C,"=证券",K:K)/SUMIF(C:C,"=证券",M:M)*-1</f>
        <v>1.3224826804231375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25.247224490696798</v>
      </c>
      <c r="I23" s="21">
        <f t="shared" si="4"/>
        <v>2.3070739620809144</v>
      </c>
      <c r="J23" s="21">
        <f t="shared" si="0"/>
        <v>99605.097588452103</v>
      </c>
      <c r="K23" s="21">
        <f t="shared" si="1"/>
        <v>9101.8451244620028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0.63560000000000005</v>
      </c>
      <c r="S23" s="57">
        <v>18.23</v>
      </c>
      <c r="T23" s="58">
        <f t="shared" si="2"/>
        <v>28.681560730018877</v>
      </c>
      <c r="U23" s="57">
        <v>1.56</v>
      </c>
      <c r="V23" s="58">
        <f t="shared" si="3"/>
        <v>2.4543738200125862</v>
      </c>
      <c r="W23" s="87">
        <v>8.5599999999999996E-2</v>
      </c>
      <c r="X23" s="75">
        <f>SUMIF(C:C,"=环保",J:J)/SUMIF(C:C,"=环保",M:M)*-1</f>
        <v>24.752727715657713</v>
      </c>
      <c r="Y23" s="75">
        <f>SUMIF(C:C,"=环保",K:K)/SUMIF(C:C,"=环保",M:M)*-1</f>
        <v>2.1181708851577632</v>
      </c>
      <c r="Z23" s="99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11.337681443703413</v>
      </c>
      <c r="I24" s="21">
        <f>F24*$V$13</f>
        <v>1.3410160847391135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0.48430000000000001</v>
      </c>
      <c r="S24" s="57">
        <v>18.23</v>
      </c>
      <c r="T24" s="58">
        <f t="shared" si="2"/>
        <v>37.641957464381584</v>
      </c>
      <c r="U24" s="57">
        <v>1.56</v>
      </c>
      <c r="V24" s="58">
        <f t="shared" si="3"/>
        <v>3.2211439190584348</v>
      </c>
      <c r="W24" s="87">
        <v>8.5599999999999996E-2</v>
      </c>
      <c r="X24" s="75">
        <f>SUMIF(C:C,"=环保",J:J)/SUMIF(C:C,"=环保",M:M)*-1</f>
        <v>24.752727715657713</v>
      </c>
      <c r="Y24" s="75">
        <f>SUMIF(C:C,"=环保",K:K)/SUMIF(C:C,"=环保",M:M)*-1</f>
        <v>2.1181708851577632</v>
      </c>
      <c r="Z24" s="100"/>
      <c r="AA24" s="2"/>
    </row>
    <row r="25" spans="1:27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33.307692307692307</v>
      </c>
      <c r="I25" s="21">
        <f>F25*$V$25</f>
        <v>3.8461538461538458</v>
      </c>
      <c r="J25" s="21">
        <f t="shared" si="0"/>
        <v>133257.41538461539</v>
      </c>
      <c r="K25" s="21">
        <f t="shared" si="1"/>
        <v>15387.692307692307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0.65</v>
      </c>
      <c r="S25" s="57">
        <v>21.65</v>
      </c>
      <c r="T25" s="58">
        <f t="shared" si="2"/>
        <v>33.307692307692307</v>
      </c>
      <c r="U25" s="57">
        <v>2.5</v>
      </c>
      <c r="V25" s="58">
        <f t="shared" si="3"/>
        <v>3.8461538461538458</v>
      </c>
      <c r="W25" s="87">
        <v>0.11559999999999999</v>
      </c>
      <c r="X25" s="75">
        <f>SUMIF(C:C,"=传媒",J:J)/SUMIF(C:C,"=传媒",M:M)*-1</f>
        <v>29.300671962284529</v>
      </c>
      <c r="Y25" s="75">
        <f>SUMIF(C:C,"=传媒",K:K)/SUMIF(C:C,"=传媒",M:M)*-1</f>
        <v>3.3834494182776593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24.771006687708297</v>
      </c>
      <c r="I26" s="21">
        <f>F26*$V$16</f>
        <v>2.2635575076698964</v>
      </c>
      <c r="J26" s="21">
        <f t="shared" si="0"/>
        <v>95882.869556580641</v>
      </c>
      <c r="K26" s="21">
        <f t="shared" si="1"/>
        <v>8761.7104939634046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0.85199999999999998</v>
      </c>
      <c r="S26" s="57">
        <v>9.66</v>
      </c>
      <c r="T26" s="58">
        <f t="shared" ref="T26:T34" si="5">S26/R26</f>
        <v>11.338028169014086</v>
      </c>
      <c r="U26" s="57">
        <v>1.21</v>
      </c>
      <c r="V26" s="58">
        <f t="shared" si="3"/>
        <v>1.42018779342723</v>
      </c>
      <c r="W26" s="87">
        <v>0.125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26.30043568036341</v>
      </c>
      <c r="I27" s="21">
        <f>F27*$V$24</f>
        <v>2.2506132562461283</v>
      </c>
      <c r="J27" s="21">
        <f t="shared" si="0"/>
        <v>105201.74272145364</v>
      </c>
      <c r="K27" s="21">
        <f t="shared" si="1"/>
        <v>9002.4530249845138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1.6487000000000001</v>
      </c>
      <c r="S27" s="57">
        <v>17.399999999999999</v>
      </c>
      <c r="T27" s="58">
        <f t="shared" si="5"/>
        <v>10.553769636683446</v>
      </c>
      <c r="U27" s="57">
        <v>1.59</v>
      </c>
      <c r="V27" s="58">
        <f t="shared" si="3"/>
        <v>0.96439619093831508</v>
      </c>
      <c r="W27" s="87">
        <v>9.1300000000000006E-2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23.20793696338314</v>
      </c>
      <c r="I28" s="21">
        <f t="shared" ref="I28:I29" si="6">F28*$V$16</f>
        <v>2.1207252742401836</v>
      </c>
      <c r="J28" s="21">
        <f t="shared" si="0"/>
        <v>182355.66845167414</v>
      </c>
      <c r="K28" s="21">
        <f t="shared" si="1"/>
        <v>16663.535220584017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0.47099999999999997</v>
      </c>
      <c r="S28" s="57">
        <v>17.399999999999999</v>
      </c>
      <c r="T28" s="58">
        <f t="shared" si="5"/>
        <v>36.942675159235669</v>
      </c>
      <c r="U28" s="57">
        <v>1.59</v>
      </c>
      <c r="V28" s="58">
        <f t="shared" si="3"/>
        <v>3.3757961783439492</v>
      </c>
      <c r="W28" s="87">
        <v>9.1300000000000006E-2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23.100403911095412</v>
      </c>
      <c r="I29" s="21">
        <f t="shared" si="6"/>
        <v>2.1108989780828566</v>
      </c>
      <c r="J29" s="21">
        <f t="shared" si="0"/>
        <v>1153506.6570905158</v>
      </c>
      <c r="K29" s="21">
        <f t="shared" si="1"/>
        <v>105406.64280309885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1.6659999999999999</v>
      </c>
      <c r="S29" s="57">
        <v>17.399999999999999</v>
      </c>
      <c r="T29" s="58">
        <f t="shared" si="5"/>
        <v>10.444177671068427</v>
      </c>
      <c r="U29" s="57">
        <v>1.59</v>
      </c>
      <c r="V29" s="58">
        <f t="shared" si="3"/>
        <v>0.9543817527010805</v>
      </c>
      <c r="W29" s="87">
        <v>9.1300000000000006E-2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10.783840721851705</v>
      </c>
      <c r="I30" s="21">
        <f>F30*$V$13</f>
        <v>1.2755080423695566</v>
      </c>
      <c r="J30" s="21">
        <f t="shared" si="0"/>
        <v>215676.8144370341</v>
      </c>
      <c r="K30" s="21">
        <f t="shared" si="1"/>
        <v>25510.160847391133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0.75139999999999996</v>
      </c>
      <c r="S30" s="57">
        <v>17.399999999999999</v>
      </c>
      <c r="T30" s="58">
        <f t="shared" si="5"/>
        <v>23.156774021825925</v>
      </c>
      <c r="U30" s="57">
        <v>1.59</v>
      </c>
      <c r="V30" s="58">
        <f t="shared" si="3"/>
        <v>2.1160500399254727</v>
      </c>
      <c r="W30" s="87">
        <v>9.1300000000000006E-2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29.480899733130009</v>
      </c>
      <c r="I31" s="21">
        <f>F31*$V$17</f>
        <v>2.6626000762485709</v>
      </c>
      <c r="J31" s="21">
        <f t="shared" si="0"/>
        <v>590349.12097598182</v>
      </c>
      <c r="K31" s="21">
        <f t="shared" si="1"/>
        <v>53318.034006862377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1.6</v>
      </c>
      <c r="S31" s="57">
        <v>10.88</v>
      </c>
      <c r="T31" s="58">
        <f t="shared" si="5"/>
        <v>6.8</v>
      </c>
      <c r="U31" s="57">
        <v>1.35</v>
      </c>
      <c r="V31" s="58">
        <f t="shared" si="3"/>
        <v>0.84375</v>
      </c>
      <c r="W31" s="87">
        <v>0.1244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28.87304613038506</v>
      </c>
      <c r="I32" s="21">
        <f>F32*$V$17</f>
        <v>2.6077011056042703</v>
      </c>
      <c r="J32" s="21">
        <f t="shared" si="0"/>
        <v>289712.433602745</v>
      </c>
      <c r="K32" s="21">
        <f t="shared" si="1"/>
        <v>26165.698970644306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1.0620000000000001</v>
      </c>
      <c r="S32" s="57">
        <v>10.88</v>
      </c>
      <c r="T32" s="58">
        <f t="shared" si="5"/>
        <v>10.24482109227872</v>
      </c>
      <c r="U32" s="57">
        <v>1.35</v>
      </c>
      <c r="V32" s="58">
        <f t="shared" si="3"/>
        <v>1.271186440677966</v>
      </c>
      <c r="W32" s="87">
        <v>0.1244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0.64990000000000003</v>
      </c>
      <c r="S33" s="57">
        <v>21.65</v>
      </c>
      <c r="T33" s="58">
        <f t="shared" si="5"/>
        <v>33.312817356516383</v>
      </c>
      <c r="U33" s="57">
        <v>2.5</v>
      </c>
      <c r="V33" s="58">
        <f t="shared" si="3"/>
        <v>3.8467456531774116</v>
      </c>
      <c r="W33" s="87">
        <v>0.11559999999999999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25.867553169523024</v>
      </c>
      <c r="I34" s="21">
        <f>F34*$V$24</f>
        <v>2.2135701011769564</v>
      </c>
      <c r="J34" s="21">
        <f t="shared" si="0"/>
        <v>103470.2126780921</v>
      </c>
      <c r="K34" s="21">
        <f t="shared" si="1"/>
        <v>8854.2804047078262</v>
      </c>
      <c r="L34" s="6" t="s">
        <v>16</v>
      </c>
      <c r="M34" s="4">
        <v>-4000</v>
      </c>
      <c r="N34" s="4">
        <v>4.79</v>
      </c>
      <c r="O34" s="4"/>
      <c r="P34" s="25" t="s">
        <v>183</v>
      </c>
      <c r="Q34" s="63" t="s">
        <v>195</v>
      </c>
      <c r="R34" s="64">
        <v>0.89119999999999999</v>
      </c>
      <c r="S34" s="57">
        <v>7.95</v>
      </c>
      <c r="T34" s="58">
        <f t="shared" si="5"/>
        <v>8.9205565529622977</v>
      </c>
      <c r="U34" s="57">
        <v>1.1000000000000001</v>
      </c>
      <c r="V34" s="58">
        <f t="shared" si="3"/>
        <v>1.2342908438061042</v>
      </c>
      <c r="W34" s="87"/>
      <c r="X34" s="75">
        <f>SUMIF(C:C,"=金融地产",J:J)/SUMIF(C:C,"=金融地产",M:M)*-1</f>
        <v>8.1004600538599636</v>
      </c>
      <c r="Y34" s="75">
        <f>SUMIF(C:C,"=金融地产",K:K)/SUMIF(C:C,"=金融地产",M:M)*-1</f>
        <v>1.1208183722321965</v>
      </c>
      <c r="Z34" s="59">
        <f>(SUMIF(C:C,"=金融地产",M:M)*-1)/$Q$2</f>
        <v>2.4E-2</v>
      </c>
      <c r="AA34" s="2"/>
    </row>
    <row r="35" spans="1:27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25.784723096286971</v>
      </c>
      <c r="I35" s="21">
        <f>F35*$V$23</f>
        <v>2.2064820641913152</v>
      </c>
      <c r="J35" s="21">
        <f t="shared" si="0"/>
        <v>104332.98291173694</v>
      </c>
      <c r="K35" s="21">
        <f t="shared" si="1"/>
        <v>8928.1104411579599</v>
      </c>
      <c r="L35" s="5" t="s">
        <v>24</v>
      </c>
      <c r="M35" s="1">
        <v>-4046.31</v>
      </c>
      <c r="N35" s="4">
        <v>0.80999999999994543</v>
      </c>
      <c r="O35" s="4"/>
      <c r="P35" s="25" t="s">
        <v>184</v>
      </c>
      <c r="Q35" s="63" t="s">
        <v>196</v>
      </c>
      <c r="R35" s="65">
        <v>1.1140000000000001</v>
      </c>
      <c r="S35" s="2"/>
      <c r="T35" s="2"/>
      <c r="U35" s="74"/>
      <c r="V35" s="74"/>
      <c r="W35" s="87"/>
      <c r="X35" s="3"/>
      <c r="Y35" s="3"/>
      <c r="Z35" s="59">
        <f>(SUMIF(C:C,"=德国30",M:M)*-1)/$Q$2</f>
        <v>1.225E-2</v>
      </c>
    </row>
    <row r="36" spans="1:27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185</v>
      </c>
      <c r="Q36" s="63" t="s">
        <v>107</v>
      </c>
      <c r="R36" s="64">
        <v>1.3869</v>
      </c>
      <c r="S36" s="57">
        <v>9.41</v>
      </c>
      <c r="T36" s="58">
        <f>S36/R36</f>
        <v>6.7849159997115871</v>
      </c>
      <c r="U36" s="57">
        <v>1.07</v>
      </c>
      <c r="V36" s="58">
        <f>U36/R36</f>
        <v>0.77150479486624846</v>
      </c>
      <c r="W36" s="58"/>
      <c r="X36" s="2"/>
      <c r="Y36" s="74"/>
      <c r="Z36" s="59">
        <v>0</v>
      </c>
    </row>
    <row r="37" spans="1:27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31.509076923076922</v>
      </c>
      <c r="I37" s="21">
        <f>F37*$V$25</f>
        <v>3.638461538461538</v>
      </c>
      <c r="J37" s="21">
        <f t="shared" si="0"/>
        <v>202732.23673999999</v>
      </c>
      <c r="K37" s="21">
        <f t="shared" si="1"/>
        <v>23410.188999999998</v>
      </c>
      <c r="L37" s="5" t="s">
        <v>24</v>
      </c>
      <c r="M37" s="1">
        <v>-6434.09</v>
      </c>
      <c r="N37" s="4">
        <v>1.2899999999999636</v>
      </c>
      <c r="O37" s="4"/>
      <c r="P37" s="25" t="s">
        <v>186</v>
      </c>
      <c r="Q37" s="63" t="s">
        <v>197</v>
      </c>
      <c r="R37" s="64">
        <v>1.0066999999999999</v>
      </c>
      <c r="S37" s="2"/>
      <c r="T37" s="2"/>
      <c r="U37" s="74"/>
      <c r="V37" s="74"/>
      <c r="W37" s="88"/>
      <c r="X37" s="2"/>
      <c r="Y37" s="74"/>
      <c r="Z37" s="59">
        <f>(SUMIF(C:C,"=国债",M:M)*-1)/$Q$2</f>
        <v>4.2190250000000004E-3</v>
      </c>
    </row>
    <row r="38" spans="1:27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26.329672750157329</v>
      </c>
      <c r="I38" s="21">
        <f>F38*$V$23</f>
        <v>2.2531151667715541</v>
      </c>
      <c r="J38" s="21">
        <f t="shared" si="0"/>
        <v>505267.47326242918</v>
      </c>
      <c r="K38" s="21">
        <f t="shared" si="1"/>
        <v>43237.370174952797</v>
      </c>
      <c r="L38" s="5" t="s">
        <v>24</v>
      </c>
      <c r="M38" s="1">
        <v>-19190.04</v>
      </c>
      <c r="N38" s="4">
        <v>3.8400000000001455</v>
      </c>
      <c r="O38" s="4"/>
      <c r="P38" s="25" t="s">
        <v>187</v>
      </c>
      <c r="Q38" s="63" t="s">
        <v>198</v>
      </c>
      <c r="R38" s="64">
        <v>1.427</v>
      </c>
      <c r="S38" s="2"/>
      <c r="T38" s="2"/>
      <c r="U38" s="74"/>
      <c r="V38" s="74"/>
      <c r="W38" s="88"/>
      <c r="X38" s="2"/>
      <c r="Y38" s="74"/>
      <c r="Z38" s="59">
        <f>(SUMIF(C:C,"=海外债",M:M)*-1)/$Q$2</f>
        <v>2.3474862499999999E-2</v>
      </c>
    </row>
    <row r="39" spans="1:27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188</v>
      </c>
      <c r="Q39" s="63">
        <v>340001</v>
      </c>
      <c r="R39" s="64">
        <v>3.6072000000000002</v>
      </c>
      <c r="S39" s="2"/>
      <c r="T39" s="2"/>
      <c r="U39" s="74"/>
      <c r="V39" s="74"/>
      <c r="W39" s="88"/>
      <c r="X39" s="2"/>
      <c r="Y39" s="74"/>
      <c r="Z39" s="59">
        <f>(SUMIF(C:C,"=可转债",M:M)*-1)/$Q$2</f>
        <v>2.4E-2</v>
      </c>
    </row>
    <row r="40" spans="1:27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24.110184397163124</v>
      </c>
      <c r="I40" s="21">
        <f>F40*$V$22</f>
        <v>1.4753617021276595</v>
      </c>
      <c r="J40" s="21">
        <f t="shared" si="0"/>
        <v>308710.65865078015</v>
      </c>
      <c r="K40" s="21">
        <f t="shared" si="1"/>
        <v>18890.767291914894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1.0370999999999999</v>
      </c>
      <c r="S40" s="2"/>
      <c r="T40" s="2"/>
      <c r="U40" s="74"/>
      <c r="V40" s="74"/>
      <c r="W40" s="88"/>
      <c r="X40" s="2"/>
      <c r="Y40" s="74"/>
      <c r="Z40" s="59">
        <f>(SUMIF(C:C,"=黄金",M:M)*-1)/$Q$2</f>
        <v>8.0536124999999997E-3</v>
      </c>
    </row>
    <row r="41" spans="1:27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31.509076923076922</v>
      </c>
      <c r="I41" s="21">
        <f>F41*$V$25</f>
        <v>3.638461538461538</v>
      </c>
      <c r="J41" s="21">
        <f t="shared" si="0"/>
        <v>202732.23673999999</v>
      </c>
      <c r="K41" s="21">
        <f t="shared" si="1"/>
        <v>23410.188999999998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88"/>
      <c r="X41" s="2"/>
      <c r="Y41" s="74"/>
      <c r="Z41" s="59">
        <f>(SUMIF(C:C,"=白银",M:M)*-1)/$Q$2</f>
        <v>1.4392650000000002E-2</v>
      </c>
    </row>
    <row r="42" spans="1:27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23.058158783410949</v>
      </c>
      <c r="I42" s="21">
        <f>F42*$V$16</f>
        <v>2.1070386474496212</v>
      </c>
      <c r="J42" s="21">
        <f t="shared" si="0"/>
        <v>152315.74063875337</v>
      </c>
      <c r="K42" s="21">
        <f t="shared" si="1"/>
        <v>13918.507334230912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88"/>
      <c r="X42" s="2"/>
      <c r="Y42" s="74"/>
      <c r="Z42" s="59">
        <f>1-SUM(Z13:Z41)</f>
        <v>0.2510929999999999</v>
      </c>
    </row>
    <row r="43" spans="1:27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7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22.689474032710176</v>
      </c>
      <c r="I44" s="21">
        <f>F44*$V$16</f>
        <v>2.0733484891959302</v>
      </c>
      <c r="J44" s="21">
        <f t="shared" si="0"/>
        <v>147483.85016001941</v>
      </c>
      <c r="K44" s="21">
        <f t="shared" si="1"/>
        <v>13476.972514622466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7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8.4210053859964091</v>
      </c>
      <c r="I45" s="21">
        <f>F45*$V$34</f>
        <v>1.1651705565529624</v>
      </c>
      <c r="J45" s="21">
        <f t="shared" si="0"/>
        <v>53894.434470377018</v>
      </c>
      <c r="K45" s="21">
        <f t="shared" si="1"/>
        <v>7457.0915619389598</v>
      </c>
      <c r="L45" s="7" t="s">
        <v>10</v>
      </c>
      <c r="M45" s="1">
        <v>-6400</v>
      </c>
      <c r="N45" s="4">
        <v>7.67</v>
      </c>
      <c r="O45" s="4"/>
      <c r="P45" s="2"/>
      <c r="Q45" s="2" t="s">
        <v>7420</v>
      </c>
      <c r="R45" s="2" t="s">
        <v>161</v>
      </c>
      <c r="S45" s="2" t="s">
        <v>162</v>
      </c>
      <c r="T45" s="2" t="s">
        <v>163</v>
      </c>
      <c r="U45" s="2" t="s">
        <v>164</v>
      </c>
      <c r="V45" s="74"/>
      <c r="W45" s="2"/>
    </row>
    <row r="46" spans="1:27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22.278544154324937</v>
      </c>
      <c r="I46" s="21">
        <f>F46*$V$16</f>
        <v>2.0357980003090028</v>
      </c>
      <c r="J46" s="21">
        <f t="shared" si="0"/>
        <v>426570.18113359966</v>
      </c>
      <c r="K46" s="21">
        <f t="shared" si="1"/>
        <v>38979.688965656518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7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12.212176485087502</v>
      </c>
      <c r="I47" s="21">
        <f>F47*$V$15</f>
        <v>1.5152976337194972</v>
      </c>
      <c r="J47" s="21">
        <f t="shared" si="0"/>
        <v>80096.124034508248</v>
      </c>
      <c r="K47" s="21">
        <f t="shared" si="1"/>
        <v>9938.3977432524043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7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21.218575496060211</v>
      </c>
      <c r="I48" s="21">
        <f t="shared" ref="I48:I49" si="7">F48*$V$16</f>
        <v>1.93893879532964</v>
      </c>
      <c r="J48" s="21">
        <f t="shared" si="0"/>
        <v>269688.94329794514</v>
      </c>
      <c r="K48" s="21">
        <f t="shared" si="1"/>
        <v>24643.989646191538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20.788443286909306</v>
      </c>
      <c r="I49" s="21">
        <f t="shared" si="7"/>
        <v>1.8996336107003333</v>
      </c>
      <c r="J49" s="21">
        <f t="shared" si="0"/>
        <v>135060.43719072107</v>
      </c>
      <c r="K49" s="21">
        <f t="shared" si="1"/>
        <v>12341.729605358994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20.855716312056739</v>
      </c>
      <c r="I51" s="21">
        <f>F51*$V$22</f>
        <v>1.2762127659574467</v>
      </c>
      <c r="J51" s="21">
        <f t="shared" si="0"/>
        <v>133142.47582184398</v>
      </c>
      <c r="K51" s="21">
        <f t="shared" si="1"/>
        <v>8147.3167736170199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34.420755634830549</v>
      </c>
      <c r="I52" s="21">
        <f>F52*$V$18</f>
        <v>4.0943084157613097</v>
      </c>
      <c r="J52" s="21">
        <f t="shared" si="0"/>
        <v>222374.94757126641</v>
      </c>
      <c r="K52" s="21">
        <f t="shared" si="1"/>
        <v>26451.238576941782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11.558491496179442</v>
      </c>
      <c r="I53" s="21">
        <f>F53*$V$15</f>
        <v>1.4341878235149126</v>
      </c>
      <c r="J53" s="21">
        <f t="shared" si="0"/>
        <v>71750.954151343365</v>
      </c>
      <c r="K53" s="21">
        <f t="shared" si="1"/>
        <v>8902.9217007641128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21.91271239773442</v>
      </c>
      <c r="I54" s="21">
        <f>F54*$V$23</f>
        <v>1.8751415984896158</v>
      </c>
      <c r="J54" s="21">
        <f t="shared" si="0"/>
        <v>140655.07135556953</v>
      </c>
      <c r="K54" s="21">
        <f t="shared" si="1"/>
        <v>12036.308903713025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7.5824730700179526</v>
      </c>
      <c r="I55" s="21">
        <f>F55*$V$34</f>
        <v>1.0491472172351886</v>
      </c>
      <c r="J55" s="21">
        <f t="shared" ref="J55" si="11">H55*(-$M55)</f>
        <v>48527.827648114893</v>
      </c>
      <c r="K55" s="21">
        <f t="shared" ref="K55" si="12">I55*(-$M55)</f>
        <v>6714.5421903052065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54609.62</v>
      </c>
      <c r="R55" s="61">
        <f t="shared" ref="R55" si="13">R54+Q55</f>
        <v>565227.98</v>
      </c>
      <c r="S55" s="61">
        <f t="shared" ref="S55" si="14">S54-Q55</f>
        <v>234772.02000000002</v>
      </c>
      <c r="T55" s="61">
        <f>(S54*$U$46)/12</f>
        <v>844.0297833333334</v>
      </c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10.482840329540997</v>
      </c>
      <c r="I56" s="21">
        <f>F56*$V$13</f>
        <v>1.2399058454295804</v>
      </c>
      <c r="J56" s="21">
        <f t="shared" si="0"/>
        <v>67090.178109062384</v>
      </c>
      <c r="K56" s="21">
        <f t="shared" si="1"/>
        <v>7935.3974107493141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165</v>
      </c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24.747327116386099</v>
      </c>
      <c r="I57" s="21">
        <f>E57*$V$21</f>
        <v>3.1600060554680875</v>
      </c>
      <c r="J57" s="21">
        <f t="shared" si="0"/>
        <v>158382.89354487104</v>
      </c>
      <c r="K57" s="21">
        <f t="shared" si="1"/>
        <v>20224.03875499576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61">
        <f>SUM(T46:T57)</f>
        <v>13952.064204166669</v>
      </c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10.410600235386426</v>
      </c>
      <c r="I58" s="21">
        <f>F58*$V$13</f>
        <v>1.2313613181639858</v>
      </c>
      <c r="J58" s="21">
        <f t="shared" si="0"/>
        <v>66627.841506473123</v>
      </c>
      <c r="K58" s="21">
        <f t="shared" si="1"/>
        <v>7880.7124362495088</v>
      </c>
      <c r="L58" s="7" t="s">
        <v>10</v>
      </c>
      <c r="M58" s="4">
        <v>-6400</v>
      </c>
      <c r="N58" s="4">
        <v>9.59</v>
      </c>
      <c r="O58" s="4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9.1608744038155816</v>
      </c>
      <c r="I60" s="21">
        <f>F60*$V$14</f>
        <v>1.1474801271860096</v>
      </c>
      <c r="J60" s="21">
        <f t="shared" si="0"/>
        <v>59028.00261224166</v>
      </c>
      <c r="K60" s="21">
        <f t="shared" si="1"/>
        <v>7393.7767247217807</v>
      </c>
      <c r="L60" s="5" t="s">
        <v>24</v>
      </c>
      <c r="M60" s="1">
        <v>-6443.49</v>
      </c>
      <c r="N60" s="4">
        <v>1.29</v>
      </c>
      <c r="O60" s="4"/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27.245692307692305</v>
      </c>
      <c r="I62" s="21">
        <f>F62*$V$25</f>
        <v>3.1461538461538456</v>
      </c>
      <c r="J62" s="21">
        <f t="shared" si="0"/>
        <v>173873.28968615385</v>
      </c>
      <c r="K62" s="21">
        <f t="shared" si="1"/>
        <v>20077.747076923075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24.770034311856655</v>
      </c>
      <c r="I64" s="21">
        <f>F64*$V$17</f>
        <v>2.2371330537552425</v>
      </c>
      <c r="J64" s="21">
        <f t="shared" si="0"/>
        <v>80766.4123789554</v>
      </c>
      <c r="K64" s="21">
        <f t="shared" si="1"/>
        <v>7294.5078917270321</v>
      </c>
      <c r="L64" s="5" t="s">
        <v>24</v>
      </c>
      <c r="M64" s="1">
        <v>-3260.65</v>
      </c>
      <c r="N64" s="4">
        <v>0.65</v>
      </c>
      <c r="O64" s="4"/>
      <c r="R64" s="15"/>
    </row>
    <row r="65" spans="1:19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20.819167016134372</v>
      </c>
      <c r="I65" s="21">
        <f>F65*$V$16</f>
        <v>1.9024411238881409</v>
      </c>
      <c r="J65" s="21">
        <f t="shared" si="0"/>
        <v>135459.91019047829</v>
      </c>
      <c r="K65" s="21">
        <f t="shared" si="1"/>
        <v>12378.23317257819</v>
      </c>
      <c r="L65" s="5" t="s">
        <v>24</v>
      </c>
      <c r="M65" s="1">
        <v>-6506.5</v>
      </c>
      <c r="N65" s="4">
        <v>1.3</v>
      </c>
      <c r="O65" s="4"/>
      <c r="P65" s="15"/>
      <c r="Q65" t="s">
        <v>7458</v>
      </c>
      <c r="R65" s="15" t="s">
        <v>7459</v>
      </c>
      <c r="S65" t="s">
        <v>7460</v>
      </c>
    </row>
    <row r="66" spans="1:19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23.516336256195199</v>
      </c>
      <c r="I66" s="21">
        <f>F66*$V$17</f>
        <v>2.1239039268013729</v>
      </c>
      <c r="J66" s="21">
        <f t="shared" si="0"/>
        <v>75709.433596645074</v>
      </c>
      <c r="K66" s="21">
        <f t="shared" si="1"/>
        <v>6837.7812581014123</v>
      </c>
      <c r="L66" s="5" t="s">
        <v>24</v>
      </c>
      <c r="M66" s="1">
        <v>-3219.44</v>
      </c>
      <c r="N66" s="4">
        <v>0.64</v>
      </c>
      <c r="O66" s="4"/>
      <c r="P66" s="15" t="s">
        <v>215</v>
      </c>
      <c r="Q66">
        <v>3811.38</v>
      </c>
      <c r="R66" s="97">
        <f>Q66*X13/S13</f>
        <v>3921.2094405076455</v>
      </c>
      <c r="S66" s="18">
        <f>R66/Q66-1</f>
        <v>2.8816187445923847E-2</v>
      </c>
    </row>
    <row r="67" spans="1:19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19.75535789171651</v>
      </c>
      <c r="I67" s="21">
        <f>F67*$V$16</f>
        <v>1.8052309797603019</v>
      </c>
      <c r="J67" s="21">
        <f t="shared" ref="J67:J82" si="15">H67*(-$M67)</f>
        <v>121970.17228419449</v>
      </c>
      <c r="K67" s="21">
        <f t="shared" ref="K67:K82" si="16">I67*(-$M67)</f>
        <v>11145.550225969497</v>
      </c>
      <c r="L67" s="5" t="s">
        <v>24</v>
      </c>
      <c r="M67" s="1">
        <v>-6174.03</v>
      </c>
      <c r="N67" s="4">
        <v>1.23</v>
      </c>
      <c r="O67" s="4"/>
      <c r="P67" s="15" t="s">
        <v>7455</v>
      </c>
      <c r="Q67">
        <v>2464.81</v>
      </c>
      <c r="R67" s="97">
        <f t="shared" ref="R67:R72" si="17">Q67*X14/S14</f>
        <v>2337.4549523052465</v>
      </c>
      <c r="S67" s="18">
        <f t="shared" ref="S67:S77" si="18">R67/Q67-1</f>
        <v>-5.1669316375198671E-2</v>
      </c>
    </row>
    <row r="68" spans="1:19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11.183041656396352</v>
      </c>
      <c r="I68" s="21">
        <f>F68*$V$15</f>
        <v>1.3876016761153562</v>
      </c>
      <c r="J68" s="21">
        <f t="shared" si="15"/>
        <v>70896.793697806264</v>
      </c>
      <c r="K68" s="21">
        <f t="shared" si="16"/>
        <v>8796.9367180182398</v>
      </c>
      <c r="L68" s="5" t="s">
        <v>24</v>
      </c>
      <c r="M68" s="1">
        <v>-6339.67</v>
      </c>
      <c r="N68" s="4">
        <v>1.27</v>
      </c>
      <c r="O68" s="4"/>
      <c r="P68" s="15" t="s">
        <v>216</v>
      </c>
      <c r="Q68">
        <v>3183.24</v>
      </c>
      <c r="R68" s="97">
        <f t="shared" si="17"/>
        <v>3386.6731282627193</v>
      </c>
      <c r="S68" s="18">
        <f t="shared" si="18"/>
        <v>6.3907568471971876E-2</v>
      </c>
    </row>
    <row r="69" spans="1:19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28.955147660154473</v>
      </c>
      <c r="I69" s="21">
        <f>F69*$V$19</f>
        <v>3.566524307133121</v>
      </c>
      <c r="J69" s="21">
        <f t="shared" si="15"/>
        <v>185807.49894702405</v>
      </c>
      <c r="K69" s="21">
        <f t="shared" si="16"/>
        <v>22886.671800817807</v>
      </c>
      <c r="L69" s="5" t="s">
        <v>24</v>
      </c>
      <c r="M69" s="4">
        <v>-6417.08</v>
      </c>
      <c r="N69" s="4">
        <v>1.28</v>
      </c>
      <c r="O69" s="4"/>
      <c r="P69" s="15" t="s">
        <v>217</v>
      </c>
      <c r="Q69">
        <v>4253.5600000000004</v>
      </c>
      <c r="R69" s="97">
        <f t="shared" si="17"/>
        <v>5434.4274461468822</v>
      </c>
      <c r="S69" s="98">
        <f t="shared" si="18"/>
        <v>0.27761861738094251</v>
      </c>
    </row>
    <row r="70" spans="1:19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5"/>
        <v>0</v>
      </c>
      <c r="K70" s="21">
        <f t="shared" si="16"/>
        <v>0</v>
      </c>
      <c r="L70" s="7" t="s">
        <v>10</v>
      </c>
      <c r="M70" s="13">
        <v>4215.6099999999997</v>
      </c>
      <c r="N70" s="4">
        <v>2.12</v>
      </c>
      <c r="O70" s="4"/>
      <c r="P70" s="15" t="s">
        <v>218</v>
      </c>
      <c r="Q70">
        <v>4378.93</v>
      </c>
      <c r="R70" s="97">
        <f t="shared" si="17"/>
        <v>6125.4692715431838</v>
      </c>
      <c r="S70" s="98">
        <f t="shared" si="18"/>
        <v>0.3988506944717507</v>
      </c>
    </row>
    <row r="71" spans="1:19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10.40257355825814</v>
      </c>
      <c r="I71" s="21">
        <f>F71*$V$13</f>
        <v>1.2304119262455866</v>
      </c>
      <c r="J71" s="21">
        <f t="shared" si="15"/>
        <v>66576.470772852103</v>
      </c>
      <c r="K71" s="21">
        <f t="shared" si="16"/>
        <v>7874.6363279717543</v>
      </c>
      <c r="L71" s="7" t="s">
        <v>10</v>
      </c>
      <c r="M71" s="4">
        <v>-6400</v>
      </c>
      <c r="N71" s="4">
        <v>9.59</v>
      </c>
      <c r="O71" s="4"/>
      <c r="P71" s="15" t="s">
        <v>178</v>
      </c>
      <c r="Q71">
        <v>1292.06</v>
      </c>
      <c r="R71" s="97">
        <f t="shared" si="17"/>
        <v>1468.4389184259931</v>
      </c>
      <c r="S71" s="98">
        <f t="shared" si="18"/>
        <v>0.1365098512654157</v>
      </c>
    </row>
    <row r="72" spans="1:19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5"/>
        <v>0</v>
      </c>
      <c r="K72" s="21">
        <f t="shared" si="16"/>
        <v>0</v>
      </c>
      <c r="L72" s="7" t="s">
        <v>10</v>
      </c>
      <c r="M72" s="13">
        <v>6820.11</v>
      </c>
      <c r="N72" s="4">
        <v>0</v>
      </c>
      <c r="O72" s="4"/>
      <c r="P72" s="15" t="s">
        <v>219</v>
      </c>
      <c r="Q72">
        <v>8000.45</v>
      </c>
      <c r="R72" s="97">
        <f t="shared" si="17"/>
        <v>8911.9070354339456</v>
      </c>
      <c r="S72" s="98">
        <f t="shared" si="18"/>
        <v>0.11392572110743093</v>
      </c>
    </row>
    <row r="73" spans="1:19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22.21986677970207</v>
      </c>
      <c r="I73" s="21">
        <f>E73*$V$21</f>
        <v>2.8372726171733071</v>
      </c>
      <c r="J73" s="21">
        <f t="shared" si="15"/>
        <v>142207.14739009325</v>
      </c>
      <c r="K73" s="21">
        <f t="shared" si="16"/>
        <v>18158.544749909164</v>
      </c>
      <c r="L73" s="7" t="s">
        <v>10</v>
      </c>
      <c r="M73" s="4">
        <v>-6400</v>
      </c>
      <c r="N73" s="4">
        <v>7.67</v>
      </c>
      <c r="O73" s="4"/>
      <c r="P73" s="15" t="s">
        <v>220</v>
      </c>
      <c r="Q73">
        <v>6263.1</v>
      </c>
      <c r="R73" s="97">
        <f>Q73*X21/S21</f>
        <v>7342.0443054004645</v>
      </c>
      <c r="S73" s="98">
        <f t="shared" si="18"/>
        <v>0.17227001092118344</v>
      </c>
    </row>
    <row r="74" spans="1:19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28.734787342139644</v>
      </c>
      <c r="I74" s="21">
        <f>F74*$V$20</f>
        <v>3.5393816228770505</v>
      </c>
      <c r="J74" s="21">
        <f t="shared" si="15"/>
        <v>183902.63898969372</v>
      </c>
      <c r="K74" s="21">
        <f t="shared" si="16"/>
        <v>22652.042386413123</v>
      </c>
      <c r="L74" s="7" t="s">
        <v>10</v>
      </c>
      <c r="M74" s="4">
        <v>-6400</v>
      </c>
      <c r="N74" s="4">
        <v>7.67</v>
      </c>
      <c r="O74" s="4"/>
      <c r="P74" s="15" t="s">
        <v>7456</v>
      </c>
      <c r="Q74">
        <v>536.29999999999995</v>
      </c>
      <c r="R74" s="97">
        <f>Q74*X22/S22</f>
        <v>606.19441154780236</v>
      </c>
      <c r="S74" s="98">
        <f t="shared" si="18"/>
        <v>0.13032707728473314</v>
      </c>
    </row>
    <row r="75" spans="1:19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24.747327116386099</v>
      </c>
      <c r="I75" s="21">
        <f>E75*$V$21</f>
        <v>2.8347438536998908</v>
      </c>
      <c r="J75" s="21">
        <f t="shared" si="15"/>
        <v>158382.89354487104</v>
      </c>
      <c r="K75" s="21">
        <f t="shared" si="16"/>
        <v>18142.360663679301</v>
      </c>
      <c r="L75" s="7" t="s">
        <v>10</v>
      </c>
      <c r="M75" s="4">
        <v>-6400</v>
      </c>
      <c r="N75" s="4">
        <v>7.67</v>
      </c>
      <c r="O75" s="4"/>
      <c r="P75" s="15" t="s">
        <v>221</v>
      </c>
      <c r="Q75">
        <v>1041.43</v>
      </c>
      <c r="R75" s="97">
        <f>Q75*X23/S23</f>
        <v>1414.0555800832371</v>
      </c>
      <c r="S75" s="98">
        <f t="shared" si="18"/>
        <v>0.35780184946010496</v>
      </c>
    </row>
    <row r="76" spans="1:19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24.381230769230768</v>
      </c>
      <c r="I76" s="21">
        <f>F76*$V$25</f>
        <v>2.8153846153846152</v>
      </c>
      <c r="J76" s="21">
        <f t="shared" si="15"/>
        <v>155300.39419384615</v>
      </c>
      <c r="K76" s="21">
        <f t="shared" si="16"/>
        <v>17933.070923076921</v>
      </c>
      <c r="L76" s="5" t="s">
        <v>24</v>
      </c>
      <c r="M76" s="1">
        <v>-6369.67</v>
      </c>
      <c r="N76" s="4">
        <v>1.27</v>
      </c>
      <c r="O76" s="4"/>
      <c r="P76" s="15" t="s">
        <v>222</v>
      </c>
      <c r="Q76">
        <v>1102.1400000000001</v>
      </c>
      <c r="R76" s="97">
        <f>Q76*X25/S25</f>
        <v>1491.613976744216</v>
      </c>
      <c r="S76" s="98">
        <f t="shared" si="18"/>
        <v>0.35337976731106369</v>
      </c>
    </row>
    <row r="77" spans="1:19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19.774560222482176</v>
      </c>
      <c r="I77" s="21">
        <f t="shared" ref="I77:I79" si="19">F77*$V$16</f>
        <v>1.8069856755026816</v>
      </c>
      <c r="J77" s="21">
        <f t="shared" si="15"/>
        <v>122207.57315734874</v>
      </c>
      <c r="K77" s="21">
        <f t="shared" si="16"/>
        <v>11167.243754033592</v>
      </c>
      <c r="L77" s="5" t="s">
        <v>24</v>
      </c>
      <c r="M77" s="1">
        <v>-6180.04</v>
      </c>
      <c r="N77" s="4">
        <v>1.24</v>
      </c>
      <c r="O77" s="4"/>
      <c r="P77" s="15" t="s">
        <v>7461</v>
      </c>
      <c r="Q77">
        <v>4981.13</v>
      </c>
      <c r="R77" s="97">
        <f>Q77*X34/S34</f>
        <v>5075.401834979054</v>
      </c>
      <c r="S77" s="98">
        <f t="shared" si="18"/>
        <v>1.8925792938360164E-2</v>
      </c>
    </row>
    <row r="78" spans="1:19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19.709272297878911</v>
      </c>
      <c r="I78" s="21">
        <f t="shared" si="19"/>
        <v>1.8010197099785903</v>
      </c>
      <c r="J78" s="21">
        <f t="shared" si="15"/>
        <v>10116.769470501244</v>
      </c>
      <c r="K78" s="21">
        <f t="shared" si="16"/>
        <v>924.46341713201036</v>
      </c>
      <c r="L78" s="5" t="s">
        <v>24</v>
      </c>
      <c r="M78" s="1">
        <v>-513.29999999999995</v>
      </c>
      <c r="N78" s="4">
        <v>0.1</v>
      </c>
      <c r="O78" s="4"/>
      <c r="P78" s="15" t="s">
        <v>7457</v>
      </c>
      <c r="Q78">
        <v>25346.55</v>
      </c>
      <c r="R78" s="97"/>
    </row>
    <row r="79" spans="1:19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19.475003862537793</v>
      </c>
      <c r="I79" s="21">
        <f t="shared" si="19"/>
        <v>1.7796124219215572</v>
      </c>
      <c r="J79" s="21">
        <f t="shared" si="15"/>
        <v>128410.77496810645</v>
      </c>
      <c r="K79" s="21">
        <f t="shared" si="16"/>
        <v>11734.088057430417</v>
      </c>
      <c r="L79" s="5" t="s">
        <v>24</v>
      </c>
      <c r="M79" s="1">
        <v>-6593.62</v>
      </c>
      <c r="N79" s="4">
        <v>1.32</v>
      </c>
      <c r="O79" s="4"/>
      <c r="P79" s="15" t="s">
        <v>184</v>
      </c>
      <c r="Q79">
        <v>11274.28</v>
      </c>
      <c r="R79" s="97"/>
    </row>
    <row r="80" spans="1:19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11.253438501355683</v>
      </c>
      <c r="I80" s="21">
        <f>F80*$V$15</f>
        <v>1.3963365787527733</v>
      </c>
      <c r="J80" s="21">
        <f t="shared" si="15"/>
        <v>71792.211194478688</v>
      </c>
      <c r="K80" s="21">
        <f t="shared" si="16"/>
        <v>8908.0409110796172</v>
      </c>
      <c r="L80" s="5" t="s">
        <v>24</v>
      </c>
      <c r="M80" s="1">
        <v>-6379.58</v>
      </c>
      <c r="N80" s="4">
        <v>1.28</v>
      </c>
      <c r="O80" s="4"/>
      <c r="P80" s="15"/>
      <c r="Q80" s="97"/>
      <c r="R80" s="97"/>
    </row>
    <row r="81" spans="1:19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22.224647350362183</v>
      </c>
      <c r="I81" s="21">
        <f>F81*$V$17</f>
        <v>2.0072436141822343</v>
      </c>
      <c r="J81" s="21">
        <f t="shared" si="15"/>
        <v>70221.66250762486</v>
      </c>
      <c r="K81" s="21">
        <f t="shared" si="16"/>
        <v>6342.1471406786131</v>
      </c>
      <c r="L81" s="5" t="s">
        <v>24</v>
      </c>
      <c r="M81" s="1">
        <v>-3159.63</v>
      </c>
      <c r="N81" s="4">
        <v>0.63</v>
      </c>
      <c r="O81" s="4"/>
      <c r="P81" s="15"/>
      <c r="Q81" s="97"/>
      <c r="R81" s="97"/>
    </row>
    <row r="82" spans="1:19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19.106319111837021</v>
      </c>
      <c r="I82" s="21">
        <f>F82*$V$16</f>
        <v>1.7459222636678657</v>
      </c>
      <c r="J82" s="21">
        <f t="shared" si="15"/>
        <v>123594.7660074602</v>
      </c>
      <c r="K82" s="21">
        <f t="shared" si="16"/>
        <v>11294.004479992052</v>
      </c>
      <c r="L82" s="5" t="s">
        <v>24</v>
      </c>
      <c r="M82" s="1">
        <v>-6468.79</v>
      </c>
      <c r="N82" s="4">
        <v>1.29</v>
      </c>
      <c r="O82" s="4"/>
      <c r="P82" s="15"/>
      <c r="Q82" s="97"/>
      <c r="R82" s="97"/>
    </row>
    <row r="83" spans="1:19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11.648400000000001</v>
      </c>
      <c r="I83" s="21">
        <f>F83*$V$31</f>
        <v>1.4453437500000001</v>
      </c>
      <c r="J83" s="21">
        <f>H83*(-$M83)</f>
        <v>74549.760000000009</v>
      </c>
      <c r="K83" s="21">
        <f t="shared" ref="K83:K86" si="20">I83*(-$M83)</f>
        <v>9250.2000000000007</v>
      </c>
      <c r="L83" s="7" t="s">
        <v>10</v>
      </c>
      <c r="M83" s="1">
        <v>-6400</v>
      </c>
      <c r="N83" s="4">
        <v>7.67</v>
      </c>
      <c r="O83" s="4"/>
      <c r="P83" s="15"/>
      <c r="Q83" s="97"/>
      <c r="R83" s="97"/>
    </row>
    <row r="84" spans="1:19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1">H84*(-$M84)</f>
        <v>0</v>
      </c>
      <c r="K84" s="21">
        <f t="shared" si="20"/>
        <v>0</v>
      </c>
      <c r="L84" s="7" t="s">
        <v>10</v>
      </c>
      <c r="M84" s="1">
        <v>-6400</v>
      </c>
      <c r="N84" s="4">
        <v>6.39</v>
      </c>
      <c r="O84" s="4"/>
      <c r="P84" s="15"/>
      <c r="Q84" s="97"/>
      <c r="R84" s="97"/>
    </row>
    <row r="85" spans="1:19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22.55900690323362</v>
      </c>
      <c r="I85" s="21">
        <f>E85*$V$21</f>
        <v>2.880577691655565</v>
      </c>
      <c r="J85" s="21">
        <f t="shared" si="21"/>
        <v>144377.64418069518</v>
      </c>
      <c r="K85" s="21">
        <f t="shared" si="20"/>
        <v>18435.697226595617</v>
      </c>
      <c r="L85" s="7" t="s">
        <v>10</v>
      </c>
      <c r="M85" s="4">
        <v>-6400</v>
      </c>
      <c r="N85" s="4">
        <v>7.67</v>
      </c>
      <c r="O85" s="4"/>
      <c r="P85" s="15"/>
      <c r="Q85" s="97"/>
      <c r="R85" s="97"/>
    </row>
    <row r="86" spans="1:19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F86*$T$34</f>
        <v>8.2979017055655291</v>
      </c>
      <c r="I86" s="21">
        <f>F86*$V$34</f>
        <v>1.1481373429084383</v>
      </c>
      <c r="J86" s="21">
        <f t="shared" si="21"/>
        <v>53106.570915619384</v>
      </c>
      <c r="K86" s="21">
        <f t="shared" si="20"/>
        <v>7348.0789946140048</v>
      </c>
      <c r="L86" s="7" t="s">
        <v>10</v>
      </c>
      <c r="M86" s="1">
        <v>-6400</v>
      </c>
      <c r="N86" s="4">
        <v>7.67</v>
      </c>
      <c r="O86" s="4"/>
      <c r="P86" s="15"/>
      <c r="Q86" s="97"/>
      <c r="R86" s="97"/>
    </row>
    <row r="87" spans="1:19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31.30225393221988</v>
      </c>
      <c r="I87" s="21">
        <f>F87*$V$18</f>
        <v>3.7233663045240792</v>
      </c>
      <c r="J87" s="21">
        <f t="shared" ref="J87:J91" si="22">H87*(-$M87)</f>
        <v>200584.843197665</v>
      </c>
      <c r="K87" s="21">
        <f t="shared" ref="K87:K91" si="23">I87*(-$M87)</f>
        <v>23859.331279390299</v>
      </c>
      <c r="L87" s="5" t="s">
        <v>24</v>
      </c>
      <c r="M87" s="1">
        <v>-6408</v>
      </c>
      <c r="N87" s="4">
        <v>1.28</v>
      </c>
      <c r="O87" s="4"/>
      <c r="P87" s="15"/>
      <c r="Q87" s="97"/>
      <c r="R87" s="97"/>
    </row>
    <row r="88" spans="1:19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17.777517822852978</v>
      </c>
      <c r="I88" s="21">
        <f t="shared" ref="I88" si="24">F88*$V$16</f>
        <v>1.6244973182951858</v>
      </c>
      <c r="J88" s="21">
        <f t="shared" si="22"/>
        <v>115232.09277595072</v>
      </c>
      <c r="K88" s="21">
        <f t="shared" si="23"/>
        <v>10529.829167457565</v>
      </c>
      <c r="L88" s="5" t="s">
        <v>24</v>
      </c>
      <c r="M88" s="1">
        <v>-6481.9</v>
      </c>
      <c r="N88" s="4">
        <v>1.3</v>
      </c>
      <c r="O88" s="4"/>
      <c r="P88" s="15"/>
      <c r="Q88" s="97"/>
      <c r="R88" s="97"/>
      <c r="S88" s="15"/>
    </row>
    <row r="89" spans="1:19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25.701364494121062</v>
      </c>
      <c r="I89" s="21">
        <f>F89*$V$20</f>
        <v>3.165742488024387</v>
      </c>
      <c r="J89" s="21">
        <f t="shared" si="22"/>
        <v>164488.7327623748</v>
      </c>
      <c r="K89" s="21">
        <f t="shared" si="23"/>
        <v>20260.751923356078</v>
      </c>
      <c r="L89" s="7" t="s">
        <v>10</v>
      </c>
      <c r="M89" s="4">
        <v>-6400</v>
      </c>
      <c r="N89" s="4">
        <v>7.67</v>
      </c>
      <c r="O89" s="4"/>
      <c r="P89" s="15"/>
      <c r="Q89" s="15"/>
      <c r="R89" s="15"/>
      <c r="S89" s="15"/>
    </row>
    <row r="90" spans="1:19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17.357163120567378</v>
      </c>
      <c r="I90" s="21">
        <f>F90*$V$22</f>
        <v>1.062127659574468</v>
      </c>
      <c r="J90" s="21">
        <f t="shared" si="22"/>
        <v>110807.78221843972</v>
      </c>
      <c r="K90" s="21">
        <f t="shared" si="23"/>
        <v>6780.6017361702116</v>
      </c>
      <c r="L90" s="5" t="s">
        <v>24</v>
      </c>
      <c r="M90" s="1">
        <v>-6383.98</v>
      </c>
      <c r="N90" s="4">
        <v>1.28</v>
      </c>
      <c r="O90" s="4"/>
      <c r="P90" s="15"/>
      <c r="Q90" s="15"/>
      <c r="R90" s="15"/>
      <c r="S90" s="15"/>
    </row>
    <row r="91" spans="1:19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17.951449514763578</v>
      </c>
      <c r="I91" s="21">
        <f>F91*$V$24</f>
        <v>1.5361635349989675</v>
      </c>
      <c r="J91" s="21">
        <f t="shared" si="22"/>
        <v>114889.2768944869</v>
      </c>
      <c r="K91" s="21">
        <f t="shared" si="23"/>
        <v>9831.4466239933918</v>
      </c>
      <c r="L91" s="7" t="s">
        <v>10</v>
      </c>
      <c r="M91" s="4">
        <v>-6400</v>
      </c>
      <c r="N91" s="4">
        <v>7.67</v>
      </c>
      <c r="P91" s="15"/>
      <c r="Q91" s="15"/>
      <c r="R91" s="15"/>
      <c r="S91" s="15"/>
    </row>
    <row r="92" spans="1:19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25.557966323123821</v>
      </c>
      <c r="I92" s="21">
        <f>F92*$V$20</f>
        <v>3.1480795471040794</v>
      </c>
      <c r="J92" s="21">
        <f t="shared" ref="J92" si="25">H92*(-$M92)</f>
        <v>163570.98446799244</v>
      </c>
      <c r="K92" s="21">
        <f t="shared" ref="K92" si="26">I92*(-$M92)</f>
        <v>20147.709101466109</v>
      </c>
      <c r="L92" s="7" t="s">
        <v>10</v>
      </c>
      <c r="M92" s="4">
        <v>-6400</v>
      </c>
      <c r="N92" s="4">
        <v>7.67</v>
      </c>
      <c r="O92" s="4"/>
      <c r="P92" s="15"/>
      <c r="Q92" s="15"/>
      <c r="R92" s="15"/>
      <c r="S92" s="15"/>
    </row>
    <row r="93" spans="1:19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  <c r="S93" s="15"/>
    </row>
    <row r="94" spans="1:19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  <c r="S94" s="15"/>
    </row>
    <row r="95" spans="1:19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7">H95*(-M95)</f>
        <v>0</v>
      </c>
      <c r="K95" s="21"/>
      <c r="L95" s="5"/>
      <c r="M95" s="1"/>
      <c r="N95" s="4"/>
      <c r="O95" s="4"/>
      <c r="Q95" s="15"/>
      <c r="R95" s="15"/>
      <c r="S95" s="15"/>
    </row>
    <row r="96" spans="1:19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  <c r="S96" s="15"/>
    </row>
    <row r="97" spans="1:20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8">H97*(-M97)</f>
        <v>0</v>
      </c>
      <c r="K97" s="21"/>
      <c r="L97" s="5"/>
      <c r="M97" s="1"/>
      <c r="N97" s="4"/>
      <c r="O97" s="4"/>
      <c r="Q97" s="15"/>
      <c r="R97" s="15"/>
      <c r="S97" s="15"/>
    </row>
    <row r="98" spans="1:20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9">H98*(-M98)</f>
        <v>0</v>
      </c>
      <c r="K98" s="21"/>
      <c r="L98" s="5"/>
      <c r="M98" s="1"/>
      <c r="N98" s="4"/>
      <c r="O98" s="4"/>
      <c r="Q98" s="15"/>
      <c r="R98" s="15"/>
      <c r="S98" s="15"/>
    </row>
    <row r="99" spans="1:20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  <c r="S99" s="15"/>
    </row>
    <row r="100" spans="1:20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9"/>
        <v>0</v>
      </c>
      <c r="K100" s="21"/>
      <c r="L100" s="5"/>
      <c r="M100" s="1"/>
      <c r="N100" s="4"/>
      <c r="O100" s="4"/>
      <c r="Q100" s="15"/>
      <c r="R100" s="15"/>
      <c r="S100" s="15"/>
    </row>
    <row r="101" spans="1:20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9"/>
        <v>0</v>
      </c>
      <c r="K101" s="21"/>
      <c r="L101" s="5"/>
      <c r="M101" s="1"/>
      <c r="N101" s="4"/>
      <c r="Q101" s="15"/>
      <c r="R101" s="15"/>
      <c r="S101" s="15"/>
    </row>
    <row r="102" spans="1:20">
      <c r="A102" s="3">
        <v>43346</v>
      </c>
      <c r="D102" s="3"/>
      <c r="E102" s="3"/>
      <c r="F102" s="3"/>
      <c r="G102" s="3"/>
      <c r="H102" s="3"/>
      <c r="I102" s="3"/>
      <c r="J102" s="21">
        <f t="shared" si="29"/>
        <v>0</v>
      </c>
      <c r="K102" s="21"/>
      <c r="L102" s="8" t="s">
        <v>200</v>
      </c>
      <c r="M102" s="1">
        <f>SUM(S4:S6)</f>
        <v>502179.78</v>
      </c>
      <c r="N102" s="1"/>
      <c r="O102" s="4"/>
      <c r="Q102" s="15"/>
      <c r="R102" s="15"/>
      <c r="S102" s="15"/>
    </row>
    <row r="103" spans="1:20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9"/>
        <v>0</v>
      </c>
      <c r="K103" s="21"/>
      <c r="M103" s="1"/>
      <c r="N103" s="4"/>
      <c r="O103" s="4"/>
      <c r="Q103" s="15"/>
      <c r="R103" s="15"/>
      <c r="S103" s="15"/>
    </row>
    <row r="104" spans="1:20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9"/>
        <v>0</v>
      </c>
      <c r="K104" s="21"/>
      <c r="M104" s="1"/>
      <c r="N104" s="4"/>
      <c r="O104" s="4"/>
      <c r="P104" s="15"/>
      <c r="Q104" s="15"/>
      <c r="R104" s="15"/>
      <c r="S104" s="15"/>
    </row>
    <row r="105" spans="1:20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9"/>
        <v>0</v>
      </c>
      <c r="K105" s="21"/>
      <c r="M105" s="1"/>
      <c r="N105" s="4"/>
      <c r="P105" s="15"/>
      <c r="Q105" s="15"/>
      <c r="S105" s="15"/>
    </row>
    <row r="106" spans="1:20">
      <c r="A106" s="3"/>
      <c r="D106" s="3"/>
      <c r="E106" s="3"/>
      <c r="F106" s="3"/>
      <c r="G106" s="3"/>
      <c r="H106" s="3"/>
      <c r="I106" s="3"/>
      <c r="J106" s="21">
        <f t="shared" si="29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  <c r="S106" s="15"/>
      <c r="T106" s="15"/>
    </row>
    <row r="107" spans="1:20">
      <c r="J107" s="21">
        <f t="shared" si="29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  <c r="S107" s="15"/>
      <c r="T107" s="15"/>
    </row>
    <row r="108" spans="1:20">
      <c r="J108" s="21">
        <f t="shared" si="29"/>
        <v>0</v>
      </c>
      <c r="K108" s="21"/>
      <c r="L108" s="3">
        <v>43259</v>
      </c>
      <c r="M108" s="16">
        <v>4.7603145241737366E-2</v>
      </c>
      <c r="P108" s="15"/>
      <c r="Q108" s="15"/>
      <c r="S108" s="15"/>
      <c r="T108" s="15"/>
    </row>
    <row r="109" spans="1:20">
      <c r="P109" s="63"/>
      <c r="Q109" s="15"/>
      <c r="S109" s="15"/>
      <c r="T109" s="15"/>
    </row>
    <row r="110" spans="1:20">
      <c r="P110" s="63"/>
      <c r="S110" s="15"/>
      <c r="T110" s="15"/>
    </row>
    <row r="111" spans="1:20">
      <c r="P111" s="63"/>
      <c r="S111" s="15"/>
      <c r="T111" s="15"/>
    </row>
    <row r="112" spans="1:20">
      <c r="P112" s="63"/>
      <c r="S112" s="15"/>
      <c r="T112" s="15"/>
    </row>
    <row r="113" spans="14:20">
      <c r="P113" s="63"/>
      <c r="S113" s="15"/>
      <c r="T113" s="15"/>
    </row>
    <row r="114" spans="14:20">
      <c r="P114" s="63"/>
      <c r="S114" s="15"/>
    </row>
    <row r="115" spans="14:20">
      <c r="P115" s="63"/>
      <c r="S115" s="15"/>
    </row>
    <row r="116" spans="14:20">
      <c r="P116" s="63"/>
    </row>
    <row r="117" spans="14:20">
      <c r="P117" s="63"/>
    </row>
    <row r="118" spans="14:20">
      <c r="P118" s="63"/>
    </row>
    <row r="119" spans="14:20">
      <c r="P119" s="63"/>
    </row>
    <row r="120" spans="14:20">
      <c r="P120" s="63"/>
    </row>
    <row r="121" spans="14:20">
      <c r="P121" s="63"/>
    </row>
    <row r="122" spans="14:20">
      <c r="P122" s="63"/>
    </row>
    <row r="123" spans="14:20">
      <c r="P123" s="63"/>
    </row>
    <row r="124" spans="14:20">
      <c r="P124" s="63"/>
    </row>
    <row r="125" spans="14:20">
      <c r="P125" s="63"/>
    </row>
    <row r="126" spans="14:20">
      <c r="N126">
        <f>SUMIF(C:C,"=医药",J:J)/SUMIF(C:C,"=医药",M:M)*-1</f>
        <v>28.215738515651225</v>
      </c>
      <c r="P126" s="63"/>
    </row>
    <row r="127" spans="14:20">
      <c r="P127" s="63"/>
    </row>
    <row r="128" spans="14:20">
      <c r="P128" s="63"/>
    </row>
    <row r="129" spans="16:16">
      <c r="P129" s="63"/>
    </row>
    <row r="130" spans="16:16">
      <c r="P130" s="63"/>
    </row>
    <row r="131" spans="16:16">
      <c r="P131" s="63"/>
    </row>
    <row r="132" spans="16:16">
      <c r="P132" s="63"/>
    </row>
    <row r="133" spans="16:16">
      <c r="P133" s="63"/>
    </row>
    <row r="134" spans="16:16">
      <c r="P134" s="63"/>
    </row>
    <row r="135" spans="16:16">
      <c r="P135" s="63"/>
    </row>
    <row r="136" spans="16:16">
      <c r="P136" s="63"/>
    </row>
  </sheetData>
  <autoFilter ref="A1:W108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">
    <cfRule type="cellIs" dxfId="45" priority="62" operator="greaterThan">
      <formula>3</formula>
    </cfRule>
  </conditionalFormatting>
  <conditionalFormatting sqref="N43:N47 N102:N104">
    <cfRule type="cellIs" dxfId="44" priority="61" operator="greaterThan">
      <formula>3</formula>
    </cfRule>
  </conditionalFormatting>
  <conditionalFormatting sqref="N48">
    <cfRule type="cellIs" dxfId="43" priority="59" operator="greaterThan">
      <formula>3</formula>
    </cfRule>
  </conditionalFormatting>
  <conditionalFormatting sqref="N49">
    <cfRule type="cellIs" dxfId="42" priority="58" operator="greaterThan">
      <formula>3</formula>
    </cfRule>
  </conditionalFormatting>
  <conditionalFormatting sqref="N50">
    <cfRule type="cellIs" dxfId="41" priority="57" operator="greaterThan">
      <formula>3</formula>
    </cfRule>
  </conditionalFormatting>
  <conditionalFormatting sqref="N52">
    <cfRule type="cellIs" dxfId="40" priority="56" operator="greaterThan">
      <formula>3</formula>
    </cfRule>
  </conditionalFormatting>
  <conditionalFormatting sqref="N53">
    <cfRule type="cellIs" dxfId="39" priority="55" operator="greaterThan">
      <formula>3</formula>
    </cfRule>
  </conditionalFormatting>
  <conditionalFormatting sqref="N54 N60 N77">
    <cfRule type="cellIs" dxfId="38" priority="54" operator="greaterThan">
      <formula>3</formula>
    </cfRule>
  </conditionalFormatting>
  <conditionalFormatting sqref="N51">
    <cfRule type="cellIs" dxfId="37" priority="53" operator="greaterThan">
      <formula>3</formula>
    </cfRule>
  </conditionalFormatting>
  <conditionalFormatting sqref="N25">
    <cfRule type="cellIs" dxfId="36" priority="51" operator="greaterThan">
      <formula>3</formula>
    </cfRule>
  </conditionalFormatting>
  <conditionalFormatting sqref="N55">
    <cfRule type="cellIs" dxfId="35" priority="49" operator="greaterThan">
      <formula>3</formula>
    </cfRule>
  </conditionalFormatting>
  <conditionalFormatting sqref="N56">
    <cfRule type="cellIs" dxfId="34" priority="48" operator="greaterThan">
      <formula>3</formula>
    </cfRule>
  </conditionalFormatting>
  <conditionalFormatting sqref="N57">
    <cfRule type="cellIs" dxfId="33" priority="46" operator="greaterThan">
      <formula>3</formula>
    </cfRule>
  </conditionalFormatting>
  <conditionalFormatting sqref="N58">
    <cfRule type="cellIs" dxfId="32" priority="45" operator="greaterThan">
      <formula>3</formula>
    </cfRule>
  </conditionalFormatting>
  <conditionalFormatting sqref="N59">
    <cfRule type="cellIs" dxfId="31" priority="44" operator="greaterThan">
      <formula>3</formula>
    </cfRule>
  </conditionalFormatting>
  <conditionalFormatting sqref="N70">
    <cfRule type="cellIs" dxfId="30" priority="43" operator="greaterThan">
      <formula>3</formula>
    </cfRule>
  </conditionalFormatting>
  <conditionalFormatting sqref="N61">
    <cfRule type="cellIs" dxfId="29" priority="41" operator="greaterThan">
      <formula>3</formula>
    </cfRule>
  </conditionalFormatting>
  <conditionalFormatting sqref="N62:N63 N69">
    <cfRule type="cellIs" dxfId="28" priority="40" operator="greaterThan">
      <formula>3</formula>
    </cfRule>
  </conditionalFormatting>
  <conditionalFormatting sqref="N66">
    <cfRule type="cellIs" dxfId="27" priority="36" operator="greaterThan">
      <formula>3</formula>
    </cfRule>
  </conditionalFormatting>
  <conditionalFormatting sqref="N65">
    <cfRule type="cellIs" dxfId="26" priority="37" operator="greaterThan">
      <formula>3</formula>
    </cfRule>
  </conditionalFormatting>
  <conditionalFormatting sqref="N64">
    <cfRule type="cellIs" dxfId="25" priority="38" operator="greaterThan">
      <formula>3</formula>
    </cfRule>
  </conditionalFormatting>
  <conditionalFormatting sqref="N68">
    <cfRule type="cellIs" dxfId="24" priority="34" operator="greaterThan">
      <formula>3</formula>
    </cfRule>
  </conditionalFormatting>
  <conditionalFormatting sqref="N67">
    <cfRule type="cellIs" dxfId="23" priority="35" operator="greaterThan">
      <formula>3</formula>
    </cfRule>
  </conditionalFormatting>
  <conditionalFormatting sqref="N17:N18">
    <cfRule type="cellIs" dxfId="22" priority="33" operator="greaterThan">
      <formula>3</formula>
    </cfRule>
  </conditionalFormatting>
  <conditionalFormatting sqref="N76">
    <cfRule type="cellIs" dxfId="21" priority="32" operator="greaterThan">
      <formula>3</formula>
    </cfRule>
  </conditionalFormatting>
  <conditionalFormatting sqref="N71">
    <cfRule type="cellIs" dxfId="20" priority="31" operator="greaterThan">
      <formula>3</formula>
    </cfRule>
  </conditionalFormatting>
  <conditionalFormatting sqref="N73">
    <cfRule type="cellIs" dxfId="19" priority="30" operator="greaterThan">
      <formula>3</formula>
    </cfRule>
  </conditionalFormatting>
  <conditionalFormatting sqref="N75">
    <cfRule type="cellIs" dxfId="18" priority="29" operator="greaterThan">
      <formula>3</formula>
    </cfRule>
  </conditionalFormatting>
  <conditionalFormatting sqref="N72">
    <cfRule type="cellIs" dxfId="17" priority="26" operator="greaterThan">
      <formula>3</formula>
    </cfRule>
  </conditionalFormatting>
  <conditionalFormatting sqref="N78">
    <cfRule type="cellIs" dxfId="16" priority="25" operator="greaterThan">
      <formula>3</formula>
    </cfRule>
  </conditionalFormatting>
  <conditionalFormatting sqref="N79">
    <cfRule type="cellIs" dxfId="15" priority="24" operator="greaterThan">
      <formula>3</formula>
    </cfRule>
  </conditionalFormatting>
  <conditionalFormatting sqref="N80">
    <cfRule type="cellIs" dxfId="14" priority="23" operator="greaterThan">
      <formula>3</formula>
    </cfRule>
  </conditionalFormatting>
  <conditionalFormatting sqref="N81">
    <cfRule type="cellIs" dxfId="13" priority="22" operator="greaterThan">
      <formula>3</formula>
    </cfRule>
  </conditionalFormatting>
  <conditionalFormatting sqref="N93:N101">
    <cfRule type="cellIs" dxfId="12" priority="17" operator="greaterThan">
      <formula>3</formula>
    </cfRule>
  </conditionalFormatting>
  <conditionalFormatting sqref="N82">
    <cfRule type="cellIs" dxfId="11" priority="16" operator="greaterThan">
      <formula>3</formula>
    </cfRule>
  </conditionalFormatting>
  <conditionalFormatting sqref="N83">
    <cfRule type="cellIs" dxfId="10" priority="15" operator="greaterThan">
      <formula>3</formula>
    </cfRule>
  </conditionalFormatting>
  <conditionalFormatting sqref="N84">
    <cfRule type="cellIs" dxfId="9" priority="14" operator="greaterThan">
      <formula>3</formula>
    </cfRule>
  </conditionalFormatting>
  <conditionalFormatting sqref="N85">
    <cfRule type="cellIs" dxfId="8" priority="13" operator="greaterThan">
      <formula>3</formula>
    </cfRule>
  </conditionalFormatting>
  <conditionalFormatting sqref="N86">
    <cfRule type="cellIs" dxfId="7" priority="11" operator="greaterThan">
      <formula>3</formula>
    </cfRule>
  </conditionalFormatting>
  <conditionalFormatting sqref="N87">
    <cfRule type="cellIs" dxfId="6" priority="10" operator="greaterThan">
      <formula>3</formula>
    </cfRule>
  </conditionalFormatting>
  <conditionalFormatting sqref="N74">
    <cfRule type="cellIs" dxfId="5" priority="7" operator="greaterThan">
      <formula>3</formula>
    </cfRule>
  </conditionalFormatting>
  <conditionalFormatting sqref="N89">
    <cfRule type="cellIs" dxfId="4" priority="6" operator="greaterThan">
      <formula>3</formula>
    </cfRule>
  </conditionalFormatting>
  <conditionalFormatting sqref="N88">
    <cfRule type="cellIs" dxfId="3" priority="5" operator="greaterThan">
      <formula>3</formula>
    </cfRule>
  </conditionalFormatting>
  <conditionalFormatting sqref="N90">
    <cfRule type="cellIs" dxfId="2" priority="4" operator="greaterThan">
      <formula>3</formula>
    </cfRule>
  </conditionalFormatting>
  <conditionalFormatting sqref="N92">
    <cfRule type="cellIs" dxfId="1" priority="1" operator="greaterThan">
      <formula>3</formula>
    </cfRule>
  </conditionalFormatting>
  <conditionalFormatting sqref="N91"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68" sqref="I68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 ht="15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4.013338564142801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 ht="15">
      <c r="D5" s="31">
        <f>E3*D3</f>
        <v>10.53434484111416</v>
      </c>
      <c r="R5" s="47"/>
    </row>
    <row r="6" spans="2:19" s="29" customFormat="1" ht="15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ht="15">
      <c r="C8" s="36" t="s">
        <v>92</v>
      </c>
      <c r="D8" s="37">
        <f>已投部分年化收益率!T27</f>
        <v>10.553769636683446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ht="15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 ht="15">
      <c r="D11" s="37">
        <f>已投部分年化收益率!T28</f>
        <v>36.942675159235669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 ht="15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 ht="15">
      <c r="C14" s="39"/>
      <c r="D14" s="37">
        <f>已投部分年化收益率!T29</f>
        <v>10.444177671068427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 ht="15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ht="15">
      <c r="C17" s="39"/>
      <c r="D17" s="37">
        <f>已投部分年化收益率!T30</f>
        <v>23.156774021825925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ht="15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ht="15">
      <c r="C20" s="42"/>
      <c r="D20" s="43">
        <f>(E8*D8*SUM(F9:Z9)+E11*D11*SUM(F12:AA12)+E14*D14*SUM(F15:AA15)+E17*D17*SUM(F18:Z18))/(SUM(F9:Z9)+SUM(F12:AA12)+SUM(F15:AA15)+SUM(F18:Z18))</f>
        <v>22.747675907837962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ht="15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11.338028169014086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ht="15">
      <c r="D25" s="31">
        <f>E23*D23</f>
        <v>8.2178028169014095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36.768761794164611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ht="15">
      <c r="D30" s="31">
        <f>E28*D28</f>
        <v>28.683311075627813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24.754753542448832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 ht="15">
      <c r="D35" s="31">
        <f>E33*D33</f>
        <v>23.707627467603245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37.641957464381584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ht="15">
      <c r="D40" s="31">
        <f>D38*E38</f>
        <v>25.46854842040058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已投部分年化收益率!T36</f>
        <v>6.7849159997115871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 ht="15">
      <c r="D45" s="31">
        <f>E43*D43</f>
        <v>6.8894037061071458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6.8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 ht="15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ht="15">
      <c r="C51" s="39"/>
      <c r="D51" s="37">
        <f>已投部分年化收益率!T32</f>
        <v>10.24482109227872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ht="15">
      <c r="C53" s="42"/>
      <c r="D53" s="43">
        <f>(E48*D48*SUM(G49:AB49)+E51*D51*SUM(F52:AA52))/(SUM(G49:AB49)+SUM(F52:AA52))</f>
        <v>11.205067148775894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33.312817356516383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29.268641329435297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224</v>
      </c>
      <c r="C61" s="46" t="s">
        <v>195</v>
      </c>
      <c r="D61" s="21">
        <f>已投部分年化收益率!V34</f>
        <v>1.2342908438061042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225</v>
      </c>
      <c r="F62">
        <v>1</v>
      </c>
      <c r="G62">
        <v>1</v>
      </c>
      <c r="H62">
        <v>1</v>
      </c>
    </row>
    <row r="63" spans="2:17">
      <c r="D63" s="31">
        <f>E61*D61</f>
        <v>1.1271543985637344</v>
      </c>
    </row>
    <row r="66" spans="2:7">
      <c r="D66" s="46"/>
      <c r="E66" s="21"/>
    </row>
    <row r="67" spans="2:7">
      <c r="B67" s="15"/>
      <c r="D67" s="46"/>
      <c r="E67" s="21"/>
    </row>
    <row r="68" spans="2:7">
      <c r="B68" s="15"/>
      <c r="D68" s="46"/>
      <c r="E68" s="21"/>
      <c r="G68" s="15"/>
    </row>
    <row r="69" spans="2:7">
      <c r="B69" s="15"/>
      <c r="D69" s="46"/>
      <c r="E69" s="21"/>
    </row>
    <row r="70" spans="2:7">
      <c r="B70" s="15"/>
      <c r="D70" s="46"/>
      <c r="E70" s="21"/>
      <c r="G70" s="15"/>
    </row>
    <row r="71" spans="2:7">
      <c r="B71" s="15"/>
      <c r="D71" s="46"/>
      <c r="E71" s="21"/>
    </row>
    <row r="72" spans="2:7">
      <c r="B72" s="15"/>
      <c r="D72" s="46"/>
      <c r="E72" s="21"/>
      <c r="G72" s="15"/>
    </row>
    <row r="73" spans="2:7">
      <c r="B73" s="15"/>
      <c r="D73" s="46"/>
      <c r="E73" s="21"/>
    </row>
    <row r="74" spans="2:7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H28" sqref="H28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已投部分年化收益率!Z13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0.27878688749999986</v>
      </c>
      <c r="H3" s="19">
        <f>D26+D16+D17+D18+D19</f>
        <v>0.2747</v>
      </c>
    </row>
    <row r="4" spans="1:18">
      <c r="A4" s="25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0.69876685000000005</v>
      </c>
      <c r="H4" s="19">
        <f>1-H3-H5</f>
        <v>0.71190000000000009</v>
      </c>
    </row>
    <row r="5" spans="1:18">
      <c r="A5" s="25"/>
      <c r="B5" s="2" t="s">
        <v>42</v>
      </c>
      <c r="C5" s="19">
        <f>已投部分年化收益率!Z15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 ht="15">
      <c r="A6" s="25"/>
      <c r="B6" s="2" t="s">
        <v>18</v>
      </c>
      <c r="C6" s="28">
        <f>已投部分年化收益率!Z16</f>
        <v>0.21911088749999999</v>
      </c>
      <c r="D6" s="18">
        <f>(11+8+2+2)*0.0067</f>
        <v>0.15410000000000001</v>
      </c>
      <c r="E6" s="50"/>
      <c r="M6" s="3"/>
    </row>
    <row r="7" spans="1:18" ht="15">
      <c r="A7" s="25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已投部分年化收益率!Z18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>
      <c r="A9" s="25"/>
      <c r="B9" s="2" t="s">
        <v>68</v>
      </c>
      <c r="C9" s="28">
        <f>已投部分年化收益率!Z19</f>
        <v>6.1076224999999998E-2</v>
      </c>
      <c r="D9" s="18">
        <f>10*0.0067</f>
        <v>6.7000000000000004E-2</v>
      </c>
      <c r="E9" s="54">
        <f t="shared" si="0"/>
        <v>0.73133024691358106</v>
      </c>
      <c r="M9" s="3"/>
    </row>
    <row r="10" spans="1:18">
      <c r="A10" s="25"/>
      <c r="B10" s="25" t="s">
        <v>56</v>
      </c>
      <c r="C10" s="19">
        <f>已投部分年化收益率!Z22</f>
        <v>3.1965149999999998E-2</v>
      </c>
      <c r="D10" s="18">
        <f>4*0.0067</f>
        <v>2.6800000000000001E-2</v>
      </c>
      <c r="E10" s="50"/>
      <c r="M10" s="3"/>
    </row>
    <row r="11" spans="1:18">
      <c r="A11" s="25"/>
      <c r="B11" s="25" t="s">
        <v>59</v>
      </c>
      <c r="C11" s="19">
        <f>已投部分年化收益率!Z34</f>
        <v>2.4E-2</v>
      </c>
      <c r="D11" s="18">
        <f>3*0.0067</f>
        <v>2.01E-2</v>
      </c>
      <c r="E11" s="50"/>
    </row>
    <row r="12" spans="1:18">
      <c r="A12" s="25"/>
      <c r="B12" s="25" t="s">
        <v>60</v>
      </c>
      <c r="C12" s="28">
        <f>已投部分年化收益率!Z21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>
      <c r="A13" s="25"/>
      <c r="B13" s="25" t="s">
        <v>57</v>
      </c>
      <c r="C13" s="19">
        <f>已投部分年化收益率!Z25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>
      <c r="A14" s="25"/>
      <c r="B14" s="2" t="s">
        <v>37</v>
      </c>
      <c r="C14" s="19">
        <f>已投部分年化收益率!Z23</f>
        <v>6.0069037499999992E-2</v>
      </c>
      <c r="D14" s="18">
        <f>9*0.0067</f>
        <v>6.0299999999999999E-2</v>
      </c>
      <c r="E14" s="50"/>
    </row>
    <row r="15" spans="1:18">
      <c r="A15" s="25"/>
      <c r="B15" s="2" t="s">
        <v>35</v>
      </c>
      <c r="C15" s="19">
        <f>已投部分年化收益率!Z39</f>
        <v>2.4E-2</v>
      </c>
      <c r="D15" s="18">
        <f>3*0.0067</f>
        <v>2.01E-2</v>
      </c>
      <c r="E15" s="50"/>
    </row>
    <row r="16" spans="1:18">
      <c r="A16" s="25"/>
      <c r="B16" s="2" t="s">
        <v>33</v>
      </c>
      <c r="C16" s="19">
        <f>已投部分年化收益率!Z38</f>
        <v>2.3474862499999999E-2</v>
      </c>
      <c r="D16" s="18">
        <f>3*0.0067</f>
        <v>2.01E-2</v>
      </c>
      <c r="E16" s="50"/>
    </row>
    <row r="17" spans="1:28">
      <c r="A17" s="25"/>
      <c r="B17" s="2" t="s">
        <v>34</v>
      </c>
      <c r="C17" s="19">
        <f>已投部分年化收益率!Z37</f>
        <v>4.2190250000000004E-3</v>
      </c>
      <c r="D17" s="18">
        <f>3*0.0067</f>
        <v>2.01E-2</v>
      </c>
      <c r="E17" s="50"/>
    </row>
    <row r="18" spans="1:28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>
      <c r="A20" s="25"/>
      <c r="B20" s="2" t="s">
        <v>36</v>
      </c>
      <c r="C20" s="19">
        <f>已投部分年化收益率!Z35</f>
        <v>1.225E-2</v>
      </c>
      <c r="D20" s="18">
        <v>1.34E-2</v>
      </c>
      <c r="E20" s="50"/>
      <c r="O20" s="4"/>
      <c r="P20" s="4"/>
      <c r="Q20" s="4"/>
      <c r="R20" s="4"/>
    </row>
    <row r="21" spans="1:28">
      <c r="A21" s="25"/>
      <c r="B21" s="68" t="s">
        <v>199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>
      <c r="A22" s="25"/>
      <c r="B22" s="2" t="s">
        <v>71</v>
      </c>
      <c r="C22" s="28">
        <f>已投部分年化收益率!Z36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39</v>
      </c>
      <c r="C23" s="19">
        <f>已投部分年化收益率!Z40</f>
        <v>8.0536124999999997E-3</v>
      </c>
      <c r="D23" s="18">
        <f>1*0.0067</f>
        <v>6.7000000000000002E-3</v>
      </c>
      <c r="E23" s="50"/>
    </row>
    <row r="24" spans="1:28">
      <c r="B24" s="2" t="s">
        <v>67</v>
      </c>
      <c r="C24" s="19">
        <f>已投部分年化收益率!Z41</f>
        <v>1.4392650000000002E-2</v>
      </c>
      <c r="D24" s="18">
        <v>0</v>
      </c>
      <c r="E24" s="50"/>
    </row>
    <row r="25" spans="1:28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>
      <c r="B26" s="25" t="s">
        <v>66</v>
      </c>
      <c r="C26" s="19">
        <f>已投部分年化收益率!Z42</f>
        <v>0.2510929999999999</v>
      </c>
      <c r="D26" s="18">
        <f>32*0.0067</f>
        <v>0.21440000000000001</v>
      </c>
      <c r="E26" s="50"/>
    </row>
    <row r="27" spans="1:28">
      <c r="F27" t="s">
        <v>102</v>
      </c>
      <c r="H27" t="s">
        <v>101</v>
      </c>
      <c r="I27" t="s">
        <v>103</v>
      </c>
      <c r="J27" t="s">
        <v>211</v>
      </c>
    </row>
    <row r="28" spans="1:28">
      <c r="F28" t="s">
        <v>77</v>
      </c>
      <c r="G28" s="19">
        <f>C3</f>
        <v>5.8900000000000001E-2</v>
      </c>
      <c r="H28" s="1">
        <f>已投部分年化收益率!X13</f>
        <v>10.524789597571802</v>
      </c>
      <c r="I28" s="1">
        <f>ETF计划成本计算!D5</f>
        <v>10.53434484111416</v>
      </c>
      <c r="J28" s="18">
        <f>已投部分年化收益率!S13/H28-1</f>
        <v>-2.8009072755222908E-2</v>
      </c>
    </row>
    <row r="29" spans="1:28">
      <c r="F29" t="s">
        <v>84</v>
      </c>
      <c r="G29" s="19">
        <f>C5</f>
        <v>3.9856999999999997E-2</v>
      </c>
      <c r="H29" s="1">
        <f>已投部分年化收益率!X15</f>
        <v>11.575314344975054</v>
      </c>
      <c r="I29" s="1">
        <f>ETF计划成本计算!D53</f>
        <v>11.205067148775894</v>
      </c>
      <c r="J29" s="18">
        <f>已投部分年化收益率!S15/H29-1</f>
        <v>-6.0068722477234049E-2</v>
      </c>
    </row>
    <row r="30" spans="1:28">
      <c r="F30" t="s">
        <v>78</v>
      </c>
      <c r="G30" s="19">
        <f>C6</f>
        <v>0.21911088749999999</v>
      </c>
      <c r="H30" s="55">
        <f>已投部分年化收益率!X16</f>
        <v>22.230563942428397</v>
      </c>
      <c r="I30" s="4">
        <f>ETF计划成本计算!D20</f>
        <v>22.747675907837962</v>
      </c>
      <c r="J30" s="18">
        <f>已投部分年化收益率!S16/H30-1</f>
        <v>-0.21729381022174477</v>
      </c>
    </row>
    <row r="31" spans="1:28">
      <c r="F31" t="s">
        <v>79</v>
      </c>
      <c r="G31" s="19">
        <f>C7</f>
        <v>4.9623162499999998E-2</v>
      </c>
      <c r="H31" s="1">
        <f>已投部分年化收益率!X17</f>
        <v>27.879094340821993</v>
      </c>
      <c r="I31" s="27" t="s">
        <v>115</v>
      </c>
      <c r="J31" s="18">
        <f>已投部分年化收益率!S17/H31-1</f>
        <v>-0.28512742356850962</v>
      </c>
    </row>
    <row r="32" spans="1:28">
      <c r="F32" t="s">
        <v>226</v>
      </c>
      <c r="G32" s="19">
        <f>C8</f>
        <v>1.6085612499999999E-2</v>
      </c>
      <c r="H32" s="1">
        <f>已投部分年化收益率!X18</f>
        <v>32.867864898595826</v>
      </c>
      <c r="I32" s="27"/>
      <c r="J32" s="18">
        <f>已投部分年化收益率!S18/H32-1</f>
        <v>-0.12011321425276045</v>
      </c>
    </row>
    <row r="33" spans="6:10">
      <c r="F33" t="s">
        <v>80</v>
      </c>
      <c r="G33" s="19">
        <f>C9</f>
        <v>6.1076224999999998E-2</v>
      </c>
      <c r="H33" s="1">
        <f>已投部分年化收益率!X19</f>
        <v>28.215738515651225</v>
      </c>
      <c r="I33" s="1">
        <f>ETF计划成本计算!D30</f>
        <v>28.683311075627813</v>
      </c>
      <c r="J33" s="18">
        <f>已投部分年化收益率!S19/H33-1</f>
        <v>-0.10227407352993834</v>
      </c>
    </row>
    <row r="34" spans="6:10">
      <c r="F34" t="s">
        <v>81</v>
      </c>
      <c r="G34" s="19">
        <f>C12</f>
        <v>5.6750000000000002E-2</v>
      </c>
      <c r="H34" s="1">
        <f>已投部分年化收益率!X21</f>
        <v>23.961199023228993</v>
      </c>
      <c r="I34" s="1">
        <f>ETF计划成本计算!D35</f>
        <v>23.707627467603245</v>
      </c>
      <c r="J34" s="18">
        <f>已投部分年化收益率!S21/H34-1</f>
        <v>-0.14695420791820113</v>
      </c>
    </row>
    <row r="35" spans="6:10">
      <c r="F35" t="s">
        <v>82</v>
      </c>
      <c r="G35" s="19">
        <f>C14</f>
        <v>6.0069037499999992E-2</v>
      </c>
      <c r="H35" s="56">
        <f>已投部分年化收益率!X23</f>
        <v>24.752727715657713</v>
      </c>
      <c r="I35" s="1">
        <f>ETF计划成本计算!D40</f>
        <v>25.46854842040058</v>
      </c>
      <c r="J35" s="18">
        <f>已投部分年化收益率!S24/H35-1</f>
        <v>-0.26351551193009171</v>
      </c>
    </row>
    <row r="36" spans="6:10">
      <c r="F36" t="s">
        <v>83</v>
      </c>
      <c r="G36" s="19">
        <f>C13</f>
        <v>3.70254125E-2</v>
      </c>
      <c r="H36" s="1">
        <f>已投部分年化收益率!X25</f>
        <v>29.300671962284529</v>
      </c>
      <c r="I36" s="1">
        <f>ETF计划成本计算!D58</f>
        <v>29.268641329435297</v>
      </c>
      <c r="J36" s="18">
        <f>已投部分年化收益率!S25/H36-1</f>
        <v>-0.26110909579590469</v>
      </c>
    </row>
    <row r="37" spans="6:10">
      <c r="F37" t="s">
        <v>223</v>
      </c>
      <c r="G37" s="19">
        <f>C11</f>
        <v>2.4E-2</v>
      </c>
      <c r="H37" s="1">
        <f>已投部分年化收益率!Y34</f>
        <v>1.1208183722321965</v>
      </c>
      <c r="I37" s="1">
        <f>ETF计划成本计算!D63</f>
        <v>1.1271543985637344</v>
      </c>
      <c r="J37" s="18">
        <f>已投部分年化收益率!U34/H37-1</f>
        <v>-1.8574260333309001E-2</v>
      </c>
    </row>
    <row r="38" spans="6:10">
      <c r="F38" t="s">
        <v>238</v>
      </c>
      <c r="G38" s="19">
        <f>C10</f>
        <v>3.1965149999999998E-2</v>
      </c>
      <c r="H38" s="1">
        <f>已投部分年化收益率!Y22</f>
        <v>1.3224826804231375</v>
      </c>
      <c r="J38" s="18">
        <f>已投部分年化收益率!U22/资产配置表!H38-1</f>
        <v>-0.11530032315761574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9"/>
  <sheetViews>
    <sheetView tabSelected="1" topLeftCell="A13" workbookViewId="0">
      <selection activeCell="D48" sqref="D48"/>
    </sheetView>
  </sheetViews>
  <sheetFormatPr defaultColWidth="8.875" defaultRowHeight="13.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" bestFit="1" customWidth="1"/>
    <col min="13" max="14" width="9.5" bestFit="1" customWidth="1"/>
    <col min="16" max="16" width="11.125" bestFit="1" customWidth="1"/>
  </cols>
  <sheetData>
    <row r="2" spans="1:12" ht="15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12" ht="15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 ht="15">
      <c r="A4" s="94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 ht="15">
      <c r="A5" s="90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 ht="15">
      <c r="A6" s="90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 ht="15">
      <c r="A7" s="90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 ht="15">
      <c r="A8" s="90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 ht="15">
      <c r="A9" s="90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 ht="15">
      <c r="A10" s="90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ht="15">
      <c r="A11" s="90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 ht="15">
      <c r="A12" s="90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 ht="15">
      <c r="A13" s="90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 ht="15">
      <c r="A14" s="90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 ht="15">
      <c r="A15" s="90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 ht="15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90" customFormat="1">
      <c r="A17" s="90" t="s">
        <v>7442</v>
      </c>
      <c r="B17" s="90" t="s">
        <v>7443</v>
      </c>
      <c r="C17" s="90" t="s">
        <v>7443</v>
      </c>
      <c r="D17" s="90" t="s">
        <v>7443</v>
      </c>
      <c r="E17" s="90" t="s">
        <v>7444</v>
      </c>
      <c r="F17" s="90" t="s">
        <v>7444</v>
      </c>
      <c r="G17" s="90" t="s">
        <v>7444</v>
      </c>
      <c r="H17" s="90" t="s">
        <v>250</v>
      </c>
      <c r="I17" s="90" t="s">
        <v>250</v>
      </c>
      <c r="J17" s="90" t="s">
        <v>250</v>
      </c>
      <c r="K17" s="90" t="s">
        <v>251</v>
      </c>
      <c r="L17" s="90" t="s">
        <v>251</v>
      </c>
      <c r="M17" s="90" t="s">
        <v>251</v>
      </c>
      <c r="N17" s="90" t="s">
        <v>3851</v>
      </c>
      <c r="O17" s="90" t="s">
        <v>3851</v>
      </c>
      <c r="P17" s="90" t="s">
        <v>3851</v>
      </c>
      <c r="Q17" s="90" t="s">
        <v>253</v>
      </c>
      <c r="R17" s="90" t="s">
        <v>253</v>
      </c>
      <c r="S17" s="90" t="s">
        <v>253</v>
      </c>
      <c r="T17" s="90" t="s">
        <v>7445</v>
      </c>
      <c r="U17" s="90" t="s">
        <v>7445</v>
      </c>
      <c r="V17" s="90" t="s">
        <v>7445</v>
      </c>
      <c r="W17" s="90" t="s">
        <v>254</v>
      </c>
      <c r="X17" s="90" t="s">
        <v>254</v>
      </c>
      <c r="Y17" s="90" t="s">
        <v>254</v>
      </c>
      <c r="Z17" s="90" t="s">
        <v>255</v>
      </c>
      <c r="AA17" s="90" t="s">
        <v>255</v>
      </c>
      <c r="AB17" s="90" t="s">
        <v>255</v>
      </c>
    </row>
    <row r="18" spans="1:28" ht="15">
      <c r="A18" s="3">
        <v>38544</v>
      </c>
      <c r="B18" s="90">
        <v>35</v>
      </c>
      <c r="C18" s="90">
        <v>11.93</v>
      </c>
      <c r="D18" s="90">
        <v>1.4</v>
      </c>
      <c r="E18" s="90">
        <v>271</v>
      </c>
      <c r="F18" s="90">
        <v>14.65</v>
      </c>
      <c r="G18" s="90">
        <v>1.2</v>
      </c>
      <c r="H18" s="90">
        <v>308</v>
      </c>
      <c r="I18" s="90">
        <v>21.23</v>
      </c>
      <c r="J18" s="90">
        <v>1.42</v>
      </c>
      <c r="K18" s="90">
        <v>262</v>
      </c>
      <c r="L18" s="90">
        <v>22.67</v>
      </c>
      <c r="M18" s="90">
        <v>1.34</v>
      </c>
      <c r="N18" s="90">
        <v>118</v>
      </c>
      <c r="O18" s="90">
        <v>26.35</v>
      </c>
      <c r="P18" s="90">
        <v>1.36</v>
      </c>
      <c r="Q18" s="90">
        <v>107</v>
      </c>
      <c r="R18" s="90">
        <v>24.93</v>
      </c>
      <c r="S18" s="90">
        <v>1.49</v>
      </c>
      <c r="T18" s="90">
        <v>100</v>
      </c>
      <c r="U18" s="90">
        <v>18.829999999999998</v>
      </c>
      <c r="V18" s="90">
        <v>1.38</v>
      </c>
      <c r="W18" s="90">
        <v>122</v>
      </c>
      <c r="X18" s="90">
        <v>25.95</v>
      </c>
      <c r="Y18" s="90">
        <v>1.47</v>
      </c>
      <c r="Z18" s="90">
        <v>63</v>
      </c>
      <c r="AA18" s="90">
        <v>19.89</v>
      </c>
      <c r="AB18" s="90">
        <v>1.33</v>
      </c>
    </row>
    <row r="19" spans="1:28" ht="15">
      <c r="A19" s="3">
        <v>39748</v>
      </c>
      <c r="B19" s="90">
        <v>42</v>
      </c>
      <c r="C19" s="90">
        <v>10.64</v>
      </c>
      <c r="D19" s="90">
        <v>1.92</v>
      </c>
      <c r="E19" s="90">
        <v>320</v>
      </c>
      <c r="F19" s="90">
        <v>9.81</v>
      </c>
      <c r="G19" s="90">
        <v>1.34</v>
      </c>
      <c r="H19" s="90">
        <v>388</v>
      </c>
      <c r="I19" s="90">
        <v>15.36</v>
      </c>
      <c r="J19" s="90">
        <v>1.65</v>
      </c>
      <c r="K19" s="90">
        <v>278</v>
      </c>
      <c r="L19" s="90">
        <v>12.86</v>
      </c>
      <c r="M19" s="90">
        <v>1.54</v>
      </c>
      <c r="N19" s="90">
        <v>117</v>
      </c>
      <c r="O19" s="90">
        <v>23.61</v>
      </c>
      <c r="P19" s="90">
        <v>1.95</v>
      </c>
      <c r="Q19" s="90">
        <v>118</v>
      </c>
      <c r="R19" s="90">
        <v>19.39</v>
      </c>
      <c r="S19" s="90">
        <v>2.09</v>
      </c>
      <c r="T19" s="90">
        <v>142</v>
      </c>
      <c r="U19" s="90">
        <v>13.4</v>
      </c>
      <c r="V19" s="90">
        <v>1.68</v>
      </c>
      <c r="W19" s="90">
        <v>155</v>
      </c>
      <c r="X19" s="90">
        <v>12.48</v>
      </c>
      <c r="Y19" s="90">
        <v>1.56</v>
      </c>
      <c r="Z19" s="90">
        <v>67</v>
      </c>
      <c r="AA19" s="90">
        <v>20.48</v>
      </c>
      <c r="AB19" s="90">
        <v>1.36</v>
      </c>
    </row>
    <row r="20" spans="1:28" ht="15">
      <c r="A20" s="3">
        <v>41240</v>
      </c>
      <c r="B20" s="90">
        <v>65</v>
      </c>
      <c r="C20" s="90">
        <v>20.45</v>
      </c>
      <c r="D20" s="90">
        <v>2</v>
      </c>
      <c r="E20" s="90">
        <v>454</v>
      </c>
      <c r="F20" s="90">
        <v>23.49</v>
      </c>
      <c r="G20" s="90">
        <v>1.76</v>
      </c>
      <c r="H20" s="90">
        <v>637</v>
      </c>
      <c r="I20" s="90">
        <v>22.35</v>
      </c>
      <c r="J20" s="90">
        <v>1.78</v>
      </c>
      <c r="K20" s="90">
        <v>407</v>
      </c>
      <c r="L20" s="90">
        <v>21.28</v>
      </c>
      <c r="M20" s="90">
        <v>1.87</v>
      </c>
      <c r="N20" s="90">
        <v>166</v>
      </c>
      <c r="O20" s="90">
        <v>26.39</v>
      </c>
      <c r="P20" s="90">
        <v>2.4700000000000002</v>
      </c>
      <c r="Q20" s="90">
        <v>181</v>
      </c>
      <c r="R20" s="90">
        <v>30.04</v>
      </c>
      <c r="S20" s="90">
        <v>2.78</v>
      </c>
      <c r="T20" s="90">
        <v>198</v>
      </c>
      <c r="U20" s="90">
        <v>15.54</v>
      </c>
      <c r="V20" s="90">
        <v>1.86</v>
      </c>
      <c r="W20" s="90">
        <v>334</v>
      </c>
      <c r="X20" s="90">
        <v>28.21</v>
      </c>
      <c r="Y20" s="90">
        <v>2.12</v>
      </c>
      <c r="Z20" s="90">
        <v>74</v>
      </c>
      <c r="AA20" s="90">
        <v>21.37</v>
      </c>
      <c r="AB20" s="90">
        <v>1.76</v>
      </c>
    </row>
    <row r="21" spans="1:28" s="90" customFormat="1">
      <c r="A21" s="14">
        <v>43397</v>
      </c>
      <c r="B21" s="95">
        <v>75</v>
      </c>
      <c r="C21" s="95">
        <v>15.87</v>
      </c>
      <c r="D21" s="95">
        <v>1.3</v>
      </c>
      <c r="E21" s="95">
        <v>565</v>
      </c>
      <c r="F21" s="95">
        <v>18.43</v>
      </c>
      <c r="G21" s="95">
        <v>1.75</v>
      </c>
      <c r="H21" s="95">
        <v>962</v>
      </c>
      <c r="I21" s="95">
        <v>22.24</v>
      </c>
      <c r="J21" s="95">
        <v>1.73</v>
      </c>
      <c r="K21" s="95">
        <v>595</v>
      </c>
      <c r="L21" s="95">
        <v>18.87</v>
      </c>
      <c r="M21" s="95">
        <v>1.61</v>
      </c>
      <c r="N21" s="95">
        <v>222</v>
      </c>
      <c r="O21" s="95">
        <v>25.63</v>
      </c>
      <c r="P21" s="95">
        <v>2.0299999999999998</v>
      </c>
      <c r="Q21" s="95">
        <v>292</v>
      </c>
      <c r="R21" s="95">
        <v>23.7</v>
      </c>
      <c r="S21" s="95">
        <v>2.2599999999999998</v>
      </c>
      <c r="T21" s="95">
        <v>234</v>
      </c>
      <c r="U21" s="95">
        <v>11.45</v>
      </c>
      <c r="V21" s="95">
        <v>1.18</v>
      </c>
      <c r="W21" s="95">
        <v>589</v>
      </c>
      <c r="X21" s="95">
        <v>30.16</v>
      </c>
      <c r="Y21" s="95">
        <v>2.27</v>
      </c>
      <c r="Z21" s="95">
        <v>108</v>
      </c>
      <c r="AA21" s="95">
        <v>20.329999999999998</v>
      </c>
      <c r="AB21" s="95">
        <v>1.23</v>
      </c>
    </row>
    <row r="22" spans="1:28">
      <c r="A22" s="90" t="s">
        <v>7446</v>
      </c>
      <c r="B22" s="90"/>
      <c r="C22" s="60">
        <f>IF(C19/C21-1&gt;0,0,C19/C21-1)</f>
        <v>-0.32955261499684929</v>
      </c>
      <c r="D22" s="60">
        <f>IF(D19/D21-1&gt;0,0,D19/D21-1)</f>
        <v>0</v>
      </c>
      <c r="E22" s="90"/>
      <c r="F22" s="60">
        <f>IF(F19/F21-1&gt;0,0,F19/F21-1)</f>
        <v>-0.46771568095496474</v>
      </c>
      <c r="G22" s="60">
        <f>IF(G19/G21-1&gt;0,0,G19/G21-1)</f>
        <v>-0.23428571428571421</v>
      </c>
      <c r="H22" s="90"/>
      <c r="I22" s="60">
        <f t="shared" ref="I22:J22" si="0">IF(I19/I21-1&gt;0,0,I19/I21-1)</f>
        <v>-0.30935251798561147</v>
      </c>
      <c r="J22" s="60">
        <f t="shared" si="0"/>
        <v>-4.6242774566474076E-2</v>
      </c>
      <c r="K22" s="90"/>
      <c r="L22" s="60">
        <f t="shared" ref="L22:M22" si="1">IF(L19/L21-1&gt;0,0,L19/L21-1)</f>
        <v>-0.3184949655537892</v>
      </c>
      <c r="M22" s="60">
        <f t="shared" si="1"/>
        <v>-4.3478260869565299E-2</v>
      </c>
      <c r="N22" s="90"/>
      <c r="O22" s="60">
        <f t="shared" ref="O22:P22" si="2">IF(O19/O21-1&gt;0,0,O19/O21-1)</f>
        <v>-7.8813889972688234E-2</v>
      </c>
      <c r="P22" s="60">
        <f t="shared" si="2"/>
        <v>-3.9408866995073843E-2</v>
      </c>
      <c r="Q22" s="90"/>
      <c r="R22" s="60">
        <f t="shared" ref="R22:S22" si="3">IF(R19/R21-1&gt;0,0,R19/R21-1)</f>
        <v>-0.18185654008438812</v>
      </c>
      <c r="S22" s="60">
        <f t="shared" si="3"/>
        <v>-7.5221238938053103E-2</v>
      </c>
      <c r="T22" s="90"/>
      <c r="U22" s="60">
        <f t="shared" ref="U22:V22" si="4">IF(U19/U21-1&gt;0,0,U19/U21-1)</f>
        <v>0</v>
      </c>
      <c r="V22" s="60">
        <f t="shared" si="4"/>
        <v>0</v>
      </c>
      <c r="W22" s="90"/>
      <c r="X22" s="60">
        <f t="shared" ref="X22:Y22" si="5">IF(X19/X21-1&gt;0,0,X19/X21-1)</f>
        <v>-0.5862068965517242</v>
      </c>
      <c r="Y22" s="60">
        <f t="shared" si="5"/>
        <v>-0.31277533039647576</v>
      </c>
      <c r="Z22" s="90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90" t="s">
        <v>7448</v>
      </c>
      <c r="B25" s="90" t="str">
        <f>组合权益类行业占比!K1</f>
        <v>能源</v>
      </c>
      <c r="C25" s="90" t="str">
        <f>组合权益类行业占比!L1</f>
        <v>原材料</v>
      </c>
      <c r="D25" s="90" t="str">
        <f>组合权益类行业占比!M1</f>
        <v>工业</v>
      </c>
      <c r="E25" s="90" t="str">
        <f>组合权益类行业占比!N1</f>
        <v>可选消费</v>
      </c>
      <c r="F25" s="90" t="str">
        <f>组合权益类行业占比!O1</f>
        <v>主要消费</v>
      </c>
      <c r="G25" s="90" t="str">
        <f>组合权益类行业占比!P1</f>
        <v>医药卫生</v>
      </c>
      <c r="H25" s="90" t="str">
        <f>组合权益类行业占比!Q1</f>
        <v>金融地产</v>
      </c>
      <c r="I25" s="90" t="str">
        <f>组合权益类行业占比!R1</f>
        <v>信息技术</v>
      </c>
      <c r="J25" s="90" t="str">
        <f>组合权益类行业占比!S1</f>
        <v>电信业务</v>
      </c>
      <c r="K25" s="90" t="str">
        <f>组合权益类行业占比!T1</f>
        <v>公用事业</v>
      </c>
      <c r="L25" t="s">
        <v>7447</v>
      </c>
      <c r="M25" s="90" t="s">
        <v>7449</v>
      </c>
      <c r="N25" s="90" t="s">
        <v>7450</v>
      </c>
      <c r="O25" s="90" t="s">
        <v>7451</v>
      </c>
      <c r="P25" s="90" t="s">
        <v>7452</v>
      </c>
    </row>
    <row r="26" spans="1:28" ht="12.75" customHeight="1">
      <c r="A26" s="90" t="str">
        <f>组合权益类行业占比!J2</f>
        <v>中证红利</v>
      </c>
      <c r="B26" s="58">
        <f>(1+$D$22)*B3</f>
        <v>4.9800000000000004E-2</v>
      </c>
      <c r="C26" s="58">
        <f>(1+$G$22)*C3</f>
        <v>3.5912000000000006E-2</v>
      </c>
      <c r="D26" s="58">
        <f>(1+$J$22)*D3</f>
        <v>0.17291618497109823</v>
      </c>
      <c r="E26" s="58">
        <f>(1+$M$22)*E3</f>
        <v>0.17590434782608694</v>
      </c>
      <c r="F26" s="58">
        <f>(1+$P$22)*F3</f>
        <v>7.5310344827586209E-2</v>
      </c>
      <c r="G26" s="58">
        <f>(1+$S$22)*G3</f>
        <v>4.2539823008849557E-3</v>
      </c>
      <c r="H26" s="58">
        <f>(1+$V$22)*H3</f>
        <v>0.26960000000000001</v>
      </c>
      <c r="I26" s="58">
        <f>(1+$Y$22)*I3</f>
        <v>1.7524229074889867E-2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-3.8678910999453753E-2</v>
      </c>
      <c r="M26" s="101">
        <v>3766.12</v>
      </c>
      <c r="N26" s="101">
        <f>M26*(1+L26)</f>
        <v>3620.4505797067372</v>
      </c>
      <c r="O26" s="89">
        <f>资产配置表!C3</f>
        <v>5.8900000000000001E-2</v>
      </c>
      <c r="P26" s="60">
        <f>O26*(1+L26)</f>
        <v>5.6621812142132175E-2</v>
      </c>
    </row>
    <row r="27" spans="1:28" ht="12.75" customHeight="1">
      <c r="A27" s="94" t="s">
        <v>7454</v>
      </c>
      <c r="B27" s="58">
        <f>(1+$D$22)*B4</f>
        <v>9.9699999999999997E-2</v>
      </c>
      <c r="C27" s="58">
        <f>(1+$G$22)*C4</f>
        <v>6.7918857142857156E-2</v>
      </c>
      <c r="D27" s="58">
        <f>(1+$J$22)*D4</f>
        <v>0.14954913294797686</v>
      </c>
      <c r="E27" s="58">
        <f>(1+$M$22)*E4</f>
        <v>8.5991304347826078E-2</v>
      </c>
      <c r="F27" s="58">
        <f>(1+$P$22)*F4</f>
        <v>7.1660098522167495E-2</v>
      </c>
      <c r="G27" s="58">
        <f>(1+$S$22)*G4</f>
        <v>4.3094690265486728E-2</v>
      </c>
      <c r="H27" s="58">
        <f>(1+$V$22)*H4</f>
        <v>0.33500000000000002</v>
      </c>
      <c r="I27" s="58">
        <f>(1+$Y$22)*I4</f>
        <v>3.9996475770925112E-2</v>
      </c>
      <c r="J27" s="58">
        <f t="shared" si="7"/>
        <v>6.6E-3</v>
      </c>
      <c r="K27" s="58">
        <f>(1+$AB$22)*K4</f>
        <v>4.3900000000000002E-2</v>
      </c>
      <c r="L27" s="60">
        <f>SUM(B27:K27)-1</f>
        <v>-5.6589441002760532E-2</v>
      </c>
      <c r="M27" s="101">
        <v>2563.31</v>
      </c>
      <c r="N27" s="101">
        <f>M27*(1+L27)</f>
        <v>2418.2537199832141</v>
      </c>
      <c r="O27" s="96">
        <f>资产配置表!C4</f>
        <v>8.0543625000000004E-3</v>
      </c>
      <c r="P27" s="60">
        <f>O27*(1+L27)</f>
        <v>7.5985706284914037E-3</v>
      </c>
    </row>
    <row r="28" spans="1:28" ht="15">
      <c r="A28" s="90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4.272685714285715E-2</v>
      </c>
      <c r="D28" s="58">
        <f t="shared" ref="D28:D38" si="10">(1+$J$22)*D5</f>
        <v>8.1641618497109825E-2</v>
      </c>
      <c r="E28" s="58">
        <f t="shared" ref="E28:E38" si="11">(1+$M$22)*E5</f>
        <v>3.5869565217391298E-2</v>
      </c>
      <c r="F28" s="58">
        <f t="shared" ref="F28:F38" si="12">(1+$P$22)*F5</f>
        <v>0.10633743842364533</v>
      </c>
      <c r="G28" s="58">
        <f t="shared" ref="G28:G38" si="13">(1+$S$22)*G5</f>
        <v>2.7465929203539824E-2</v>
      </c>
      <c r="H28" s="58">
        <f t="shared" ref="H28:H38" si="14">(1+$V$22)*H5</f>
        <v>0.622</v>
      </c>
      <c r="I28" s="58">
        <f t="shared" ref="I28:I38" si="15">(1+$Y$22)*I5</f>
        <v>7.4220264317180623E-3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-2.8536565083738474E-2</v>
      </c>
      <c r="M28" s="101">
        <v>2445.71</v>
      </c>
      <c r="N28" s="101">
        <f t="shared" ref="N28:N38" si="18">M28*(1+L28)</f>
        <v>2375.9178374090502</v>
      </c>
      <c r="O28" s="89">
        <f>资产配置表!C4</f>
        <v>8.0543625000000004E-3</v>
      </c>
      <c r="P28" s="60">
        <f t="shared" ref="P28:P38" si="19">O28*(1+L28)</f>
        <v>7.824518660310727E-3</v>
      </c>
    </row>
    <row r="29" spans="1:28" ht="15">
      <c r="A29" s="90" t="str">
        <f>组合权益类行业占比!J5</f>
        <v>沪深300</v>
      </c>
      <c r="B29" s="58">
        <f t="shared" si="8"/>
        <v>2.81E-2</v>
      </c>
      <c r="C29" s="58">
        <f t="shared" si="9"/>
        <v>5.6586285714285714E-2</v>
      </c>
      <c r="D29" s="58">
        <f t="shared" si="10"/>
        <v>0.11826589595375721</v>
      </c>
      <c r="E29" s="58">
        <f t="shared" si="11"/>
        <v>0.1076086956521739</v>
      </c>
      <c r="F29" s="58">
        <f t="shared" si="12"/>
        <v>8.7221674876847302E-2</v>
      </c>
      <c r="G29" s="58">
        <f t="shared" si="13"/>
        <v>5.91858407079646E-2</v>
      </c>
      <c r="H29" s="58">
        <f t="shared" si="14"/>
        <v>0.39069999999999999</v>
      </c>
      <c r="I29" s="58">
        <f t="shared" si="15"/>
        <v>4.7143612334801771E-2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-5.7687994760169503E-2</v>
      </c>
      <c r="M29" s="101">
        <v>3141.3</v>
      </c>
      <c r="N29" s="101">
        <f t="shared" si="18"/>
        <v>2960.0847020598799</v>
      </c>
      <c r="O29" s="89">
        <f>资产配置表!C5</f>
        <v>3.9856999999999997E-2</v>
      </c>
      <c r="P29" s="60">
        <f t="shared" si="19"/>
        <v>3.7557729592843918E-2</v>
      </c>
    </row>
    <row r="30" spans="1:28" ht="15">
      <c r="A30" s="90" t="str">
        <f>组合权益类行业占比!J6</f>
        <v>中证500</v>
      </c>
      <c r="B30" s="58">
        <f t="shared" si="8"/>
        <v>2.4900000000000002E-2</v>
      </c>
      <c r="C30" s="58">
        <f t="shared" si="9"/>
        <v>0.12320342857142857</v>
      </c>
      <c r="D30" s="58">
        <f t="shared" si="10"/>
        <v>0.20658381502890172</v>
      </c>
      <c r="E30" s="58">
        <f t="shared" si="11"/>
        <v>0.11229565217391303</v>
      </c>
      <c r="F30" s="58">
        <f t="shared" si="12"/>
        <v>6.5896551724137942E-2</v>
      </c>
      <c r="G30" s="58">
        <f t="shared" si="13"/>
        <v>0.10736681415929203</v>
      </c>
      <c r="H30" s="58">
        <f t="shared" si="14"/>
        <v>8.2500000000000004E-2</v>
      </c>
      <c r="I30" s="58">
        <f t="shared" si="15"/>
        <v>0.1148352422907489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-0.11641849605157761</v>
      </c>
      <c r="M30" s="101">
        <v>4151.7299999999996</v>
      </c>
      <c r="N30" s="101">
        <f t="shared" si="18"/>
        <v>3668.3918373877832</v>
      </c>
      <c r="O30" s="89">
        <f>资产配置表!C6</f>
        <v>0.21911088749999999</v>
      </c>
      <c r="P30" s="60">
        <f t="shared" si="19"/>
        <v>0.19360232750872358</v>
      </c>
    </row>
    <row r="31" spans="1:28" ht="15">
      <c r="A31" s="90" t="str">
        <f>组合权益类行业占比!J7</f>
        <v>中证1000</v>
      </c>
      <c r="B31" s="58">
        <f t="shared" si="8"/>
        <v>3.1400000000000004E-2</v>
      </c>
      <c r="C31" s="58">
        <f t="shared" si="9"/>
        <v>0.12856342857142858</v>
      </c>
      <c r="D31" s="58">
        <f t="shared" si="10"/>
        <v>0.22508670520231214</v>
      </c>
      <c r="E31" s="58">
        <f t="shared" si="11"/>
        <v>0.12224347826086955</v>
      </c>
      <c r="F31" s="58">
        <f t="shared" si="12"/>
        <v>5.0431034482758624E-2</v>
      </c>
      <c r="G31" s="58">
        <f t="shared" si="13"/>
        <v>9.7749115044247784E-2</v>
      </c>
      <c r="H31" s="58">
        <f t="shared" si="14"/>
        <v>4.1700000000000001E-2</v>
      </c>
      <c r="I31" s="58">
        <f t="shared" si="15"/>
        <v>0.12287577092511012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-0.12165046751327313</v>
      </c>
      <c r="M31" s="101">
        <v>4270.1499999999996</v>
      </c>
      <c r="N31" s="101">
        <f t="shared" si="18"/>
        <v>3750.6842561481963</v>
      </c>
      <c r="O31" s="89">
        <f>资产配置表!C7</f>
        <v>4.9623162499999998E-2</v>
      </c>
      <c r="P31" s="60">
        <f t="shared" si="19"/>
        <v>4.3586481582387877E-2</v>
      </c>
    </row>
    <row r="32" spans="1:28" ht="15">
      <c r="A32" s="90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101">
        <v>5059.3599999999997</v>
      </c>
      <c r="N32" s="101">
        <f t="shared" si="18"/>
        <v>5059.3599999999997</v>
      </c>
      <c r="O32" s="89">
        <f>资产配置表!C11</f>
        <v>2.4E-2</v>
      </c>
      <c r="P32" s="60">
        <f t="shared" si="19"/>
        <v>2.4E-2</v>
      </c>
    </row>
    <row r="33" spans="1:16" ht="15">
      <c r="A33" s="90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101">
        <v>551.29</v>
      </c>
      <c r="N33" s="101">
        <f t="shared" si="18"/>
        <v>551.29</v>
      </c>
      <c r="O33" s="89">
        <f>资产配置表!C10</f>
        <v>3.1965149999999998E-2</v>
      </c>
      <c r="P33" s="60">
        <f t="shared" si="19"/>
        <v>3.1965149999999998E-2</v>
      </c>
    </row>
    <row r="34" spans="1:16" ht="15">
      <c r="A34" s="90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0.50446956521739128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0.32478237885462552</v>
      </c>
      <c r="J34" s="58">
        <f t="shared" si="20"/>
        <v>0</v>
      </c>
      <c r="K34" s="58">
        <f t="shared" si="16"/>
        <v>0</v>
      </c>
      <c r="L34" s="60">
        <f t="shared" si="17"/>
        <v>-0.17074805592798326</v>
      </c>
      <c r="M34" s="101">
        <v>1074.96</v>
      </c>
      <c r="N34" s="101">
        <f t="shared" si="18"/>
        <v>891.41266979965519</v>
      </c>
      <c r="O34" s="89">
        <f>资产配置表!C13</f>
        <v>3.70254125E-2</v>
      </c>
      <c r="P34" s="60">
        <f t="shared" si="19"/>
        <v>3.070339529569335E-2</v>
      </c>
    </row>
    <row r="35" spans="1:16" ht="15">
      <c r="A35" s="90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0.9247787610619469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-7.5221238938053103E-2</v>
      </c>
      <c r="M35" s="101">
        <v>7702.38</v>
      </c>
      <c r="N35" s="101">
        <f t="shared" si="18"/>
        <v>7122.9974336283185</v>
      </c>
      <c r="O35" s="89">
        <f>资产配置表!C9</f>
        <v>6.1076224999999998E-2</v>
      </c>
      <c r="P35" s="60">
        <f t="shared" si="19"/>
        <v>5.6481995685840704E-2</v>
      </c>
    </row>
    <row r="36" spans="1:16" ht="15">
      <c r="A36" s="90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0.32273043478260871</v>
      </c>
      <c r="F36" s="58">
        <f t="shared" si="12"/>
        <v>8.0881773399014784E-2</v>
      </c>
      <c r="G36" s="58">
        <f t="shared" si="13"/>
        <v>0.35927654867256636</v>
      </c>
      <c r="H36" s="58">
        <f t="shared" si="14"/>
        <v>8.7400000000000005E-2</v>
      </c>
      <c r="I36" s="58">
        <f t="shared" si="15"/>
        <v>7.0440528634361232E-2</v>
      </c>
      <c r="J36" s="58">
        <f t="shared" si="20"/>
        <v>0</v>
      </c>
      <c r="K36" s="58">
        <f t="shared" si="16"/>
        <v>0</v>
      </c>
      <c r="L36" s="60">
        <f t="shared" si="17"/>
        <v>-7.9270714511448959E-2</v>
      </c>
      <c r="M36" s="101">
        <v>6092.76</v>
      </c>
      <c r="N36" s="101">
        <f t="shared" si="18"/>
        <v>5609.7825614532248</v>
      </c>
      <c r="O36" s="89">
        <f>资产配置表!C12</f>
        <v>5.6750000000000002E-2</v>
      </c>
      <c r="P36" s="60">
        <f t="shared" si="19"/>
        <v>5.225138695147527E-2</v>
      </c>
    </row>
    <row r="37" spans="1:16" ht="15">
      <c r="A37" s="90" t="str">
        <f>组合权益类行业占比!J13</f>
        <v>中证环保</v>
      </c>
      <c r="B37" s="58">
        <f t="shared" si="8"/>
        <v>0</v>
      </c>
      <c r="C37" s="58">
        <f t="shared" si="9"/>
        <v>4.4488000000000007E-2</v>
      </c>
      <c r="D37" s="58">
        <f t="shared" si="10"/>
        <v>0.64569364161849707</v>
      </c>
      <c r="E37" s="58">
        <f t="shared" si="11"/>
        <v>5.0791304347826076E-2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5.6077533039647583E-2</v>
      </c>
      <c r="J37" s="58">
        <f t="shared" si="20"/>
        <v>0</v>
      </c>
      <c r="K37" s="58">
        <f t="shared" si="16"/>
        <v>0.13019999999999998</v>
      </c>
      <c r="L37" s="60">
        <f t="shared" si="17"/>
        <v>-7.2749520994029315E-2</v>
      </c>
      <c r="M37" s="101">
        <v>1017.27</v>
      </c>
      <c r="N37" s="101">
        <f t="shared" si="18"/>
        <v>943.26409477840377</v>
      </c>
      <c r="O37" s="89">
        <f>资产配置表!C14</f>
        <v>6.0069037499999992E-2</v>
      </c>
      <c r="P37" s="60">
        <f t="shared" si="19"/>
        <v>5.5699043795302605E-2</v>
      </c>
    </row>
    <row r="38" spans="1:16" ht="15">
      <c r="A38" s="90" t="str">
        <f>组合权益类行业占比!J14</f>
        <v>创业板指</v>
      </c>
      <c r="B38" s="58">
        <f t="shared" si="8"/>
        <v>0</v>
      </c>
      <c r="C38" s="58">
        <f t="shared" si="9"/>
        <v>2.7489142857142861E-2</v>
      </c>
      <c r="D38" s="58">
        <f t="shared" si="10"/>
        <v>0.17997398843930634</v>
      </c>
      <c r="E38" s="58">
        <f t="shared" si="11"/>
        <v>5.7678260869565214E-2</v>
      </c>
      <c r="F38" s="58">
        <f t="shared" si="12"/>
        <v>9.4041871921182268E-2</v>
      </c>
      <c r="G38" s="58">
        <f t="shared" si="13"/>
        <v>0.17145398230088496</v>
      </c>
      <c r="H38" s="58">
        <f t="shared" si="14"/>
        <v>5.1900000000000002E-2</v>
      </c>
      <c r="I38" s="58">
        <f t="shared" si="15"/>
        <v>0.26107665198237889</v>
      </c>
      <c r="J38" s="58">
        <f t="shared" si="20"/>
        <v>0</v>
      </c>
      <c r="K38" s="58">
        <f t="shared" si="16"/>
        <v>0</v>
      </c>
      <c r="L38" s="60">
        <f t="shared" si="17"/>
        <v>-0.15638610162953959</v>
      </c>
      <c r="M38" s="101">
        <v>1249.94</v>
      </c>
      <c r="N38" s="101">
        <f t="shared" si="18"/>
        <v>1054.4667561291733</v>
      </c>
      <c r="O38" s="89">
        <f>资产配置表!C8</f>
        <v>1.6085612499999999E-2</v>
      </c>
      <c r="P38" s="60">
        <f t="shared" si="19"/>
        <v>1.3570046268801607E-2</v>
      </c>
    </row>
    <row r="39" spans="1:16" ht="15">
      <c r="O39" s="89">
        <f>1-SUM(O26:O38)</f>
        <v>0.32942878750000004</v>
      </c>
      <c r="P39" s="60">
        <f>O39</f>
        <v>0.32942878750000004</v>
      </c>
    </row>
    <row r="40" spans="1:16" ht="15">
      <c r="O40" s="89">
        <f>SUM(O26:O39)</f>
        <v>1</v>
      </c>
      <c r="P40" s="89">
        <f>SUM(P26:P39)</f>
        <v>0.94089124561200332</v>
      </c>
    </row>
    <row r="41" spans="1:16" ht="15"/>
    <row r="42" spans="1:16" ht="15"/>
    <row r="43" spans="1:16" ht="15"/>
    <row r="44" spans="1:16" ht="15"/>
    <row r="45" spans="1:16" ht="15"/>
    <row r="46" spans="1:16" ht="15"/>
    <row r="47" spans="1:16" ht="15"/>
    <row r="48" spans="1:16" ht="15"/>
    <row r="49" ht="15"/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zoomScale="85" zoomScaleNormal="85" zoomScalePageLayoutView="85" workbookViewId="0">
      <selection activeCell="C58" sqref="C58"/>
    </sheetView>
  </sheetViews>
  <sheetFormatPr defaultColWidth="8.875" defaultRowHeight="13.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>
      <c r="A2" t="s">
        <v>228</v>
      </c>
      <c r="B2" s="1">
        <f>M2*0.3</f>
        <v>6.5190000000000001</v>
      </c>
      <c r="C2" s="21">
        <f>(($N$2+1)*((1+$K$2*$G$2))^C$1)</f>
        <v>0.79915751765486609</v>
      </c>
      <c r="D2" s="21">
        <f>(($N$2+1)*((1+$K$2*$G$2))^D$1)</f>
        <v>0.94712858261586397</v>
      </c>
      <c r="E2" s="21">
        <f>(($N$2+1)*((1+$K$2*$G$2))^E$1)</f>
        <v>1.1224977957291109</v>
      </c>
      <c r="G2" s="88">
        <v>0.75</v>
      </c>
      <c r="I2" t="s">
        <v>215</v>
      </c>
      <c r="J2" s="18">
        <f>资产配置表!G28</f>
        <v>5.8900000000000001E-2</v>
      </c>
      <c r="K2" s="18">
        <f>已投部分年化收益率!W13</f>
        <v>0.1182</v>
      </c>
      <c r="L2" s="1">
        <f>资产配置表!H28</f>
        <v>10.524789597571802</v>
      </c>
      <c r="M2" s="1">
        <v>21.73</v>
      </c>
      <c r="N2" s="18">
        <f t="shared" ref="N2:N12" si="0">$M2*0.3/$L2-1</f>
        <v>-0.38060519504313761</v>
      </c>
      <c r="O2" s="18">
        <f t="shared" ref="O2:O12" si="1">$M2*0.5/$L2-1</f>
        <v>3.2324674928103869E-2</v>
      </c>
      <c r="P2" s="18">
        <f t="shared" ref="P2:P12" si="2">$M2*0.7/$L2-1</f>
        <v>0.44525454489934524</v>
      </c>
      <c r="Q2" s="18">
        <f t="shared" ref="Q2:Q12" si="3">$M2/$L2-1</f>
        <v>1.0646493498562077</v>
      </c>
    </row>
    <row r="3" spans="1:17">
      <c r="A3" s="19">
        <f>J2</f>
        <v>5.8900000000000001E-2</v>
      </c>
      <c r="B3" s="1">
        <f>M2*0.5</f>
        <v>10.865</v>
      </c>
      <c r="C3" s="21">
        <f>(($O$2+1)*((1+$K$2*$G$2))^C$1)</f>
        <v>1.3319291960914432</v>
      </c>
      <c r="D3" s="21">
        <f>(($O$2+1)*((1+$K$2*$G$2))^D$1)</f>
        <v>1.5785476376931065</v>
      </c>
      <c r="E3" s="21">
        <f>(($O$2+1)*((1+$K$2*$G$2))^E$1)</f>
        <v>1.8708296595485181</v>
      </c>
      <c r="I3" t="s">
        <v>216</v>
      </c>
      <c r="J3" s="18">
        <f>资产配置表!G29</f>
        <v>3.9856999999999997E-2</v>
      </c>
      <c r="K3" s="18">
        <f>已投部分年化收益率!W15</f>
        <v>0.1244</v>
      </c>
      <c r="L3" s="1">
        <f>资产配置表!H29</f>
        <v>11.575314344975054</v>
      </c>
      <c r="M3" s="1">
        <v>19</v>
      </c>
      <c r="N3" s="18">
        <f t="shared" si="0"/>
        <v>-0.50757276820958031</v>
      </c>
      <c r="O3" s="18">
        <f t="shared" si="1"/>
        <v>-0.17928794701596729</v>
      </c>
      <c r="P3" s="18">
        <f t="shared" si="2"/>
        <v>0.14899687417764573</v>
      </c>
      <c r="Q3" s="18">
        <f t="shared" si="3"/>
        <v>0.64142410596806543</v>
      </c>
    </row>
    <row r="4" spans="1:17">
      <c r="B4" s="1">
        <f>M2*0.7</f>
        <v>15.210999999999999</v>
      </c>
      <c r="C4" s="21">
        <f>(($P$2+1)*((1+$K$2*$G$2))^C$1)</f>
        <v>1.8647008745280205</v>
      </c>
      <c r="D4" s="21">
        <f>(($P$2+1)*((1+$K$2*$G$2))^D$1)</f>
        <v>2.2099666927703487</v>
      </c>
      <c r="E4" s="21">
        <f>(($P$2+1)*((1+$K$2*$G$2))^E$1)</f>
        <v>2.6191615233679251</v>
      </c>
      <c r="I4" t="s">
        <v>217</v>
      </c>
      <c r="J4" s="18">
        <f>资产配置表!G30</f>
        <v>0.21911088749999999</v>
      </c>
      <c r="K4" s="18">
        <f>已投部分年化收益率!W16</f>
        <v>9.1300000000000006E-2</v>
      </c>
      <c r="L4" s="1">
        <f>资产配置表!H30</f>
        <v>22.230563942428397</v>
      </c>
      <c r="M4" s="1">
        <v>83.24</v>
      </c>
      <c r="N4" s="18">
        <f t="shared" si="0"/>
        <v>0.12331833167486139</v>
      </c>
      <c r="O4" s="18">
        <f t="shared" si="1"/>
        <v>0.87219721945810247</v>
      </c>
      <c r="P4" s="18">
        <f t="shared" si="2"/>
        <v>1.6210761072413433</v>
      </c>
      <c r="Q4" s="18">
        <f t="shared" si="3"/>
        <v>2.7443944389162049</v>
      </c>
    </row>
    <row r="5" spans="1:17">
      <c r="B5" s="1"/>
      <c r="I5" t="s">
        <v>218</v>
      </c>
      <c r="J5" s="18">
        <f>资产配置表!G31</f>
        <v>4.9623162499999998E-2</v>
      </c>
      <c r="K5" s="18">
        <f>已投部分年化收益率!W17</f>
        <v>9.01E-2</v>
      </c>
      <c r="L5" s="1">
        <f>资产配置表!H31</f>
        <v>27.879094340821993</v>
      </c>
      <c r="M5" s="1">
        <v>144.82</v>
      </c>
      <c r="N5" s="18">
        <f t="shared" si="0"/>
        <v>0.55837199978136121</v>
      </c>
      <c r="O5" s="18">
        <f t="shared" si="1"/>
        <v>1.5972866663022685</v>
      </c>
      <c r="P5" s="18">
        <f t="shared" si="2"/>
        <v>2.6362013328231759</v>
      </c>
      <c r="Q5" s="18">
        <f t="shared" si="3"/>
        <v>4.1945733326045369</v>
      </c>
    </row>
    <row r="6" spans="1:17">
      <c r="A6" t="s">
        <v>84</v>
      </c>
      <c r="B6" s="1">
        <f>M3*0.3</f>
        <v>5.7</v>
      </c>
      <c r="C6" s="21">
        <f>(($N$3+1)*((1+$K$3*$G$2))^C$1)</f>
        <v>0.64351712139761785</v>
      </c>
      <c r="D6" s="21">
        <f>(($N$3+1)*((1+$K$3*$G$2))^D$1)</f>
        <v>0.76919916200529626</v>
      </c>
      <c r="E6" s="21">
        <f>(($N$3+1)*((1+$K$3*$G$2))^E$1)</f>
        <v>0.91942751972883263</v>
      </c>
      <c r="I6" t="s">
        <v>178</v>
      </c>
      <c r="J6" s="18">
        <f>资产配置表!G32</f>
        <v>1.6085612499999999E-2</v>
      </c>
      <c r="K6" s="18">
        <f>已投部分年化收益率!W18</f>
        <v>0.11890000000000001</v>
      </c>
      <c r="L6" s="1">
        <f>资产配置表!H32</f>
        <v>32.867864898595826</v>
      </c>
      <c r="M6" s="1">
        <v>137.86000000000001</v>
      </c>
      <c r="N6" s="18">
        <f t="shared" si="0"/>
        <v>0.25831112326882222</v>
      </c>
      <c r="O6" s="18">
        <f t="shared" si="1"/>
        <v>1.0971852054480369</v>
      </c>
      <c r="P6" s="18">
        <f t="shared" si="2"/>
        <v>1.9360592876272515</v>
      </c>
      <c r="Q6" s="18">
        <f t="shared" si="3"/>
        <v>3.1943704108960738</v>
      </c>
    </row>
    <row r="7" spans="1:17">
      <c r="A7" s="19">
        <f>J3</f>
        <v>3.9856999999999997E-2</v>
      </c>
      <c r="B7" s="1">
        <f>M3*0.5</f>
        <v>9.5</v>
      </c>
      <c r="C7" s="21">
        <f>(($O$3+1)*((1+$K$3*$G$2))^C$1)</f>
        <v>1.0725285356626963</v>
      </c>
      <c r="D7" s="21">
        <f>(($O$3+1)*((1+$K$2*$G$2))^D$1)</f>
        <v>1.2549666824097097</v>
      </c>
      <c r="E7" s="21">
        <f>(($O$3+1)*((1+$K$3*$G$2))^E$1)</f>
        <v>1.5323791995480542</v>
      </c>
      <c r="I7" t="s">
        <v>219</v>
      </c>
      <c r="J7" s="18">
        <f>资产配置表!G33</f>
        <v>6.1076224999999998E-2</v>
      </c>
      <c r="K7" s="18">
        <f>已投部分年化收益率!W19</f>
        <v>0.1231</v>
      </c>
      <c r="L7" s="1">
        <f>资产配置表!H33</f>
        <v>28.215738515651225</v>
      </c>
      <c r="M7" s="1">
        <v>74.42</v>
      </c>
      <c r="N7" s="18">
        <f t="shared" si="0"/>
        <v>-0.20873947752188715</v>
      </c>
      <c r="O7" s="18">
        <f t="shared" si="1"/>
        <v>0.31876753746352149</v>
      </c>
      <c r="P7" s="18">
        <f t="shared" si="2"/>
        <v>0.84627455244892991</v>
      </c>
      <c r="Q7" s="18">
        <f t="shared" si="3"/>
        <v>1.637535074927043</v>
      </c>
    </row>
    <row r="8" spans="1:17">
      <c r="B8" s="1">
        <f>M3*0.7</f>
        <v>13.299999999999999</v>
      </c>
      <c r="C8" s="21">
        <f>(($P$3+1)*((1+$K$3*$G$2))^C$1)</f>
        <v>1.5015399499277748</v>
      </c>
      <c r="D8" s="21">
        <f>(($P$3+1)*((1+$K$3*$G$2))^D$1)</f>
        <v>1.7947980446790242</v>
      </c>
      <c r="E8" s="21">
        <f>(($P$3+1)*((1+$K$3*$G$2))^E$1)</f>
        <v>2.1453308793672758</v>
      </c>
      <c r="I8" t="s">
        <v>220</v>
      </c>
      <c r="J8" s="18">
        <f>资产配置表!G34</f>
        <v>5.6750000000000002E-2</v>
      </c>
      <c r="K8" s="18">
        <f>已投部分年化收益率!W21</f>
        <v>0.12759999999999999</v>
      </c>
      <c r="L8" s="1">
        <f>资产配置表!H34</f>
        <v>23.961199023228993</v>
      </c>
      <c r="M8" s="1">
        <v>52.47</v>
      </c>
      <c r="N8" s="18">
        <f t="shared" si="0"/>
        <v>-0.34306292499219204</v>
      </c>
      <c r="O8" s="18">
        <f t="shared" si="1"/>
        <v>9.4895125013013226E-2</v>
      </c>
      <c r="P8" s="18">
        <f t="shared" si="2"/>
        <v>0.53285317501821861</v>
      </c>
      <c r="Q8" s="18">
        <f t="shared" si="3"/>
        <v>1.1897902500260265</v>
      </c>
    </row>
    <row r="9" spans="1:17">
      <c r="B9" s="1"/>
      <c r="I9" t="s">
        <v>221</v>
      </c>
      <c r="J9" s="18">
        <f>资产配置表!G35</f>
        <v>6.0069037499999992E-2</v>
      </c>
      <c r="K9" s="18">
        <f>已投部分年化收益率!W23</f>
        <v>8.5599999999999996E-2</v>
      </c>
      <c r="L9" s="1">
        <f>资产配置表!H35</f>
        <v>24.752727715657713</v>
      </c>
      <c r="M9" s="1">
        <v>71.13</v>
      </c>
      <c r="N9" s="18">
        <f t="shared" si="0"/>
        <v>-0.13791319303764282</v>
      </c>
      <c r="O9" s="18">
        <f t="shared" si="1"/>
        <v>0.43681134493726193</v>
      </c>
      <c r="P9" s="18">
        <f t="shared" si="2"/>
        <v>1.0115358829121668</v>
      </c>
      <c r="Q9" s="18">
        <f t="shared" si="3"/>
        <v>1.8736226898745239</v>
      </c>
    </row>
    <row r="10" spans="1:17">
      <c r="A10" t="s">
        <v>78</v>
      </c>
      <c r="B10" s="1">
        <f>M4*0.3</f>
        <v>24.971999999999998</v>
      </c>
      <c r="C10" s="21">
        <f>(($N$4+1)*((1+$K$4*$G$2))^C$1)</f>
        <v>1.3702377921176769</v>
      </c>
      <c r="D10" s="21">
        <f>(($N$4+1)*((1+$K$4*$G$2))^D$1)</f>
        <v>1.5643166638202175</v>
      </c>
      <c r="E10" s="21">
        <f>(($N$4+1)*((1+$K$4*$G$2))^E$1)</f>
        <v>1.7858846389893315</v>
      </c>
      <c r="I10" t="s">
        <v>222</v>
      </c>
      <c r="J10" s="18">
        <f>资产配置表!G36</f>
        <v>3.70254125E-2</v>
      </c>
      <c r="K10" s="18">
        <f>已投部分年化收益率!W33</f>
        <v>0.11559999999999999</v>
      </c>
      <c r="L10" s="1">
        <f>资产配置表!H36</f>
        <v>29.300671962284529</v>
      </c>
      <c r="M10" s="1">
        <v>121.16</v>
      </c>
      <c r="N10" s="18">
        <f t="shared" si="0"/>
        <v>0.24051762521988262</v>
      </c>
      <c r="O10" s="18">
        <f t="shared" si="1"/>
        <v>1.0675293753664707</v>
      </c>
      <c r="P10" s="18">
        <f t="shared" si="2"/>
        <v>1.8945411255130593</v>
      </c>
      <c r="Q10" s="18">
        <f t="shared" si="3"/>
        <v>3.1350587507329415</v>
      </c>
    </row>
    <row r="11" spans="1:17">
      <c r="A11" s="19">
        <f>J4</f>
        <v>0.21911088749999999</v>
      </c>
      <c r="B11" s="1">
        <f>M4*0.5</f>
        <v>41.62</v>
      </c>
      <c r="C11" s="21">
        <f>(($O$4+1)*((1+$K$4*$G$2))^C$1)</f>
        <v>2.2837296535294618</v>
      </c>
      <c r="D11" s="21">
        <f>(($O$4+1)*((1+$K$4*$G$2))^D$1)</f>
        <v>2.6071944397003626</v>
      </c>
      <c r="E11" s="21">
        <f>(($O$4+1)*((1+$K$4*$G$2))^E$1)</f>
        <v>2.9764743983155526</v>
      </c>
      <c r="I11" t="s">
        <v>223</v>
      </c>
      <c r="J11" s="18">
        <f>资产配置表!G37</f>
        <v>2.4E-2</v>
      </c>
      <c r="K11" s="18">
        <f>已投部分年化收益率!W14</f>
        <v>0.125</v>
      </c>
      <c r="L11" s="1">
        <f>资产配置表!H37</f>
        <v>1.1208183722321965</v>
      </c>
      <c r="M11" s="1">
        <v>3.5</v>
      </c>
      <c r="N11" s="18">
        <f t="shared" si="0"/>
        <v>-6.318452122724949E-2</v>
      </c>
      <c r="O11" s="18">
        <f t="shared" si="1"/>
        <v>0.56135913128791737</v>
      </c>
      <c r="P11" s="18">
        <f t="shared" si="2"/>
        <v>1.1859027838030842</v>
      </c>
      <c r="Q11" s="18">
        <f t="shared" si="3"/>
        <v>2.1227182625758347</v>
      </c>
    </row>
    <row r="12" spans="1:17">
      <c r="B12" s="1">
        <f>M4*0.7</f>
        <v>58.267999999999994</v>
      </c>
      <c r="C12" s="21">
        <f>(($P$4+1)*((1+$K$4*$G$2))^C$1)</f>
        <v>3.1972215149412464</v>
      </c>
      <c r="D12" s="21">
        <f>(($P$4+1)*((1+$K$4*$G$2))^D$1)</f>
        <v>3.6500722155805074</v>
      </c>
      <c r="E12" s="21">
        <f>(($P$4+1)*((1+$K$4*$G$2))^E$1)</f>
        <v>4.1670641576417733</v>
      </c>
      <c r="I12" t="s">
        <v>239</v>
      </c>
      <c r="J12" s="18">
        <f>资产配置表!G38</f>
        <v>3.1965149999999998E-2</v>
      </c>
      <c r="K12" s="18">
        <f>已投部分年化收益率!W22</f>
        <v>6.0999999999999999E-2</v>
      </c>
      <c r="L12" s="1">
        <f>资产配置表!H38</f>
        <v>1.3224826804231375</v>
      </c>
      <c r="M12">
        <v>5.04</v>
      </c>
      <c r="N12" s="18">
        <f t="shared" si="0"/>
        <v>0.14330419776554293</v>
      </c>
      <c r="O12" s="18">
        <f t="shared" si="1"/>
        <v>0.90550699627590481</v>
      </c>
      <c r="P12" s="18">
        <f t="shared" si="2"/>
        <v>1.667709794786266</v>
      </c>
      <c r="Q12" s="18">
        <f t="shared" si="3"/>
        <v>2.8110139925518096</v>
      </c>
    </row>
    <row r="13" spans="1:17">
      <c r="B13" s="1"/>
      <c r="E13" s="21"/>
      <c r="I13" t="s">
        <v>284</v>
      </c>
      <c r="J13" s="18">
        <f>资产配置表!C20</f>
        <v>1.225E-2</v>
      </c>
      <c r="K13" s="18"/>
      <c r="L13" s="1"/>
    </row>
    <row r="14" spans="1:17">
      <c r="A14" t="s">
        <v>79</v>
      </c>
      <c r="B14" s="1">
        <f>M5*0.3</f>
        <v>43.445999999999998</v>
      </c>
      <c r="C14" s="21">
        <f>(($N$5+1)*((1+$K$5*$G$2))^C$1)</f>
        <v>1.8961221943452262</v>
      </c>
      <c r="D14" s="21">
        <f>(($N$5+1)*((1+$K$5*$G$2))^D$1)</f>
        <v>2.1610415245618735</v>
      </c>
      <c r="E14" s="21">
        <f>(($N$5+1)*((1+$K$5*$G$2))^E$1)</f>
        <v>2.4629744247539911</v>
      </c>
      <c r="I14" t="s">
        <v>282</v>
      </c>
      <c r="J14" s="18">
        <f>资产配置表!C15</f>
        <v>2.4E-2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3.1602036572420431</v>
      </c>
      <c r="D15" s="21">
        <f>(($O$5+1)*((1+$K$5*$G$2))^D$1)</f>
        <v>3.6017358742697891</v>
      </c>
      <c r="E15" s="21">
        <f>(($O$5+1)*((1+$K$5*$G$2))^E$1)</f>
        <v>4.1049573745899846</v>
      </c>
      <c r="I15" t="s">
        <v>283</v>
      </c>
      <c r="J15" s="18">
        <f>资产配置表!C16</f>
        <v>2.3474862499999999E-2</v>
      </c>
      <c r="K15" s="18"/>
    </row>
    <row r="16" spans="1:17">
      <c r="B16" s="1">
        <f>M5*0.7</f>
        <v>101.374</v>
      </c>
      <c r="C16" s="21">
        <f>(($P$5+1)*((1+$K$5*$G$2))^C$1)</f>
        <v>4.4242851201388609</v>
      </c>
      <c r="D16" s="21">
        <f>(($P$5+1)*((1+$K$5*$G$2))^D$1)</f>
        <v>5.0424302239777044</v>
      </c>
      <c r="E16" s="21">
        <f>(($P$5+1)*((1+$K$5*$G$2))^E$1)</f>
        <v>5.7469403244259789</v>
      </c>
      <c r="I16" t="s">
        <v>233</v>
      </c>
      <c r="J16" s="19">
        <f>1-SUM(J2:J15)</f>
        <v>0.28581265</v>
      </c>
      <c r="K16" s="19"/>
    </row>
    <row r="17" spans="1:14" ht="15">
      <c r="B17" s="1"/>
    </row>
    <row r="18" spans="1:14">
      <c r="A18" t="s">
        <v>232</v>
      </c>
      <c r="B18" s="1">
        <f>M6*0.3</f>
        <v>41.358000000000004</v>
      </c>
      <c r="C18" s="21">
        <f>(($N$6+1)*((1+$K$6*$G$2))^C$1)</f>
        <v>1.6258520718736751</v>
      </c>
      <c r="D18" s="21">
        <f>(($N$6+1)*((1+$K$6*$G$2))^D$1)</f>
        <v>1.928751858237415</v>
      </c>
      <c r="E18" s="21">
        <f>(($N$6+1)*((1+$K$6*$G$2))^E$1)</f>
        <v>2.2880825353115664</v>
      </c>
    </row>
    <row r="19" spans="1:14">
      <c r="A19" s="19">
        <f>J6</f>
        <v>1.6085612499999999E-2</v>
      </c>
      <c r="B19" s="1">
        <f>M6*0.5</f>
        <v>68.930000000000007</v>
      </c>
      <c r="C19" s="21">
        <f>(($O$6+1)*((1+$K$6*$G$2))^C$1)</f>
        <v>2.7097534531227918</v>
      </c>
      <c r="D19" s="21">
        <f>(($O$6+1)*((1+$K$6*$G$2))^D$1)</f>
        <v>3.2145864303956917</v>
      </c>
      <c r="E19" s="21">
        <f>(($O$6+1)*((1+$K$6*$G$2))^E$1)</f>
        <v>3.8134708921859439</v>
      </c>
      <c r="I19" t="s">
        <v>227</v>
      </c>
    </row>
    <row r="20" spans="1:14" ht="15">
      <c r="B20" s="1">
        <f>M6*0.7</f>
        <v>96.50200000000001</v>
      </c>
      <c r="C20" s="21">
        <f>(($P$6+1)*((1+$K$6*$G$2))^C$1)</f>
        <v>3.7936548343719081</v>
      </c>
      <c r="D20" s="21">
        <f>(($P$6+1)*((1+$K$6*$G$2))^D$1)</f>
        <v>4.5004210025539679</v>
      </c>
      <c r="E20" s="21">
        <f>(($P$6+1)*((1+$K$6*$G$2))^E$1)</f>
        <v>5.3388592490603211</v>
      </c>
    </row>
    <row r="21" spans="1:14" ht="15">
      <c r="B21" s="1"/>
    </row>
    <row r="22" spans="1:14">
      <c r="A22" t="s">
        <v>80</v>
      </c>
      <c r="B22" s="1">
        <f>M7*0.3</f>
        <v>22.326000000000001</v>
      </c>
      <c r="C22" s="21">
        <f>(($N$7+1)*((1+$K$7*$G$2))^C$1)</f>
        <v>1.0312764937131111</v>
      </c>
      <c r="D22" s="21">
        <f>(($N$7+1)*((1+$K$7*$G$2))^D$1)</f>
        <v>1.2304922017829281</v>
      </c>
      <c r="E22" s="21">
        <f>(($N$7+1)*((1+$K$7*$G$2))^E$1)</f>
        <v>1.4681911862424422</v>
      </c>
    </row>
    <row r="23" spans="1:14" ht="15">
      <c r="A23" s="19">
        <f>J7</f>
        <v>6.1076224999999998E-2</v>
      </c>
      <c r="B23" s="1">
        <f>M7*0.5</f>
        <v>37.21</v>
      </c>
      <c r="C23" s="21">
        <f>(($O$7+1)*((1+$K$7*$G$2))^C$1)</f>
        <v>1.7187941561885185</v>
      </c>
      <c r="D23" s="21">
        <f>(($O$7+1)*((1+$K$7*$G$2))^D$1)</f>
        <v>2.0508203363048803</v>
      </c>
      <c r="E23" s="21">
        <f>(($O$7+1)*((1+$K$7*$G$2))^E$1)</f>
        <v>2.4469853104040702</v>
      </c>
    </row>
    <row r="24" spans="1:14" ht="15">
      <c r="B24" s="1">
        <f>M7*0.7</f>
        <v>52.094000000000001</v>
      </c>
      <c r="C24" s="21">
        <f>(($P$7+1)*((1+$K$7*$G$2))^C$1)</f>
        <v>2.4063118186639256</v>
      </c>
      <c r="D24" s="21">
        <f>(($P$7+1)*((1+$K$7*$G$2))^D$1)</f>
        <v>2.8711484708268324</v>
      </c>
      <c r="E24" s="21">
        <f>(($P$7+1)*((1+$K$7*$G$2))^E$1)</f>
        <v>3.425779434565698</v>
      </c>
    </row>
    <row r="25" spans="1:14" ht="15">
      <c r="B25" s="1"/>
    </row>
    <row r="26" spans="1:14">
      <c r="A26" t="s">
        <v>81</v>
      </c>
      <c r="B26" s="1">
        <f>M8*0.3</f>
        <v>15.741</v>
      </c>
      <c r="C26" s="21">
        <f>(($N$8+1)*((1+$K$8*$G$2))^C$1)</f>
        <v>0.864169148130005</v>
      </c>
      <c r="D26" s="21">
        <f>(($N$8+1)*((1+$K$8*$G$2))^D$1)</f>
        <v>1.0374856075835448</v>
      </c>
      <c r="E26" s="21">
        <f>(($N$8+1)*((1+$K$8*$G$2))^E$1)</f>
        <v>1.2455621544372326</v>
      </c>
      <c r="L26" t="s">
        <v>7436</v>
      </c>
    </row>
    <row r="27" spans="1:14" ht="15">
      <c r="A27" s="19">
        <f>J8</f>
        <v>5.6750000000000002E-2</v>
      </c>
      <c r="B27" s="1">
        <f>M8*0.5</f>
        <v>26.234999999999999</v>
      </c>
      <c r="C27" s="21">
        <f>(($O$8+1)*((1+$K$8*$G$2))^C$1)</f>
        <v>1.4402819135500082</v>
      </c>
      <c r="D27" s="21">
        <f>(($O$8+1)*((1+$K$8*$G$2))^D$1)</f>
        <v>1.7291426793059077</v>
      </c>
      <c r="E27" s="21">
        <f>(($O$8+1)*((1+$K$8*$G$2))^E$1)</f>
        <v>2.0759369240620544</v>
      </c>
      <c r="L27" t="s">
        <v>7428</v>
      </c>
      <c r="M27" t="s">
        <v>7429</v>
      </c>
      <c r="N27" t="s">
        <v>7430</v>
      </c>
    </row>
    <row r="28" spans="1:14" ht="15">
      <c r="B28" s="1">
        <f>M8*0.7</f>
        <v>36.728999999999999</v>
      </c>
      <c r="C28" s="21">
        <f>(($P$8+1)*((1+$K$8*$G$2))^C$1)</f>
        <v>2.0163946789700118</v>
      </c>
      <c r="D28" s="21">
        <f>(($P$8+1)*((1+$K$8*$G$2))^D$1)</f>
        <v>2.4207997510282708</v>
      </c>
      <c r="E28" s="21">
        <f>(($P$8+1)*((1+$K$8*$G$2))^E$1)</f>
        <v>2.9063116936868765</v>
      </c>
      <c r="L28" t="s">
        <v>7431</v>
      </c>
      <c r="M28" t="s">
        <v>7432</v>
      </c>
      <c r="N28" t="s">
        <v>7433</v>
      </c>
    </row>
    <row r="29" spans="1:14" ht="15">
      <c r="L29" t="s">
        <v>7434</v>
      </c>
      <c r="M29" t="s">
        <v>7438</v>
      </c>
      <c r="N29" t="s">
        <v>7435</v>
      </c>
    </row>
    <row r="30" spans="1:14">
      <c r="A30" t="s">
        <v>221</v>
      </c>
      <c r="B30" s="1">
        <f>M9*0.3</f>
        <v>21.338999999999999</v>
      </c>
      <c r="C30" s="21">
        <f>(($N$9+1)*((1+$K$9*$G$2))^C$1)</f>
        <v>1.0390124765606366</v>
      </c>
      <c r="D30" s="21">
        <f>(($N$9+1)*((1+$K$9*$G$2))^D$1)</f>
        <v>1.1767041139349137</v>
      </c>
      <c r="E30" s="21">
        <f>(($N$9+1)*((1+$K$9*$G$2))^E$1)</f>
        <v>1.3326428729083153</v>
      </c>
    </row>
    <row r="31" spans="1:14" ht="15">
      <c r="A31" s="19">
        <f>J9</f>
        <v>6.0069037499999992E-2</v>
      </c>
      <c r="B31" s="1">
        <f>M9*0.5</f>
        <v>35.564999999999998</v>
      </c>
      <c r="C31" s="21">
        <f>(($O$9+1)*((1+$K$9*$G$2))^C$1)</f>
        <v>1.7316874609343944</v>
      </c>
      <c r="D31" s="21">
        <f>(($O$9+1)*((1+$K$9*$G$2))^D$1)</f>
        <v>1.9611735232248562</v>
      </c>
      <c r="E31" s="21">
        <f>(($O$9+1)*((1+$K$9*$G$2))^E$1)</f>
        <v>2.2210714548471922</v>
      </c>
    </row>
    <row r="32" spans="1:14" ht="15">
      <c r="B32" s="1">
        <f>M9*0.7</f>
        <v>49.790999999999997</v>
      </c>
      <c r="C32" s="21">
        <f>(($P$9+1)*((1+$K$9*$G$2))^C$1)</f>
        <v>2.424362445308152</v>
      </c>
      <c r="D32" s="21">
        <f>(($P$9+1)*((1+$K$9*$G$2))^D$1)</f>
        <v>2.7456429325147989</v>
      </c>
      <c r="E32" s="21">
        <f>(($P$9+1)*((1+$K$9*$G$2))^E$1)</f>
        <v>3.109500036786069</v>
      </c>
    </row>
    <row r="34" spans="1:14">
      <c r="A34" t="s">
        <v>222</v>
      </c>
      <c r="B34" s="1">
        <f>M10*0.3</f>
        <v>36.347999999999999</v>
      </c>
      <c r="C34" s="21">
        <f>(($N$10+1)*((1+$K$10*$G$2))^C$1)</f>
        <v>1.5919592262890019</v>
      </c>
      <c r="D34" s="21">
        <f>(($N$10+1)*((1+$K$10*$G$2))^D$1)</f>
        <v>1.8799715385160143</v>
      </c>
      <c r="E34" s="21">
        <f>(($N$10+1)*((1+$K$10*$G$2))^E$1)</f>
        <v>2.2200901425528468</v>
      </c>
      <c r="L34" t="s">
        <v>7439</v>
      </c>
      <c r="M34" t="s">
        <v>7439</v>
      </c>
      <c r="N34" t="s">
        <v>7439</v>
      </c>
    </row>
    <row r="35" spans="1:14" ht="15">
      <c r="A35" s="19">
        <f>J10</f>
        <v>3.70254125E-2</v>
      </c>
      <c r="B35" s="1">
        <f>M10*0.5</f>
        <v>60.58</v>
      </c>
      <c r="C35" s="21">
        <f>(($O$10+1)*((1+$K$10*$G$2))^C$1)</f>
        <v>2.6532653771483359</v>
      </c>
      <c r="D35" s="21">
        <f>(($O$10+1)*((1+$K$10*$G$2))^D$1)</f>
        <v>3.1332858975266897</v>
      </c>
      <c r="E35" s="21">
        <f>(($O$10+1)*((1+$K$10*$G$2))^E$1)</f>
        <v>3.7001502375880779</v>
      </c>
      <c r="L35" t="s">
        <v>7440</v>
      </c>
      <c r="M35" t="s">
        <v>7440</v>
      </c>
      <c r="N35" t="s">
        <v>7440</v>
      </c>
    </row>
    <row r="36" spans="1:14" ht="15">
      <c r="B36" s="1">
        <f>M10*0.7</f>
        <v>84.811999999999998</v>
      </c>
      <c r="C36" s="21">
        <f>(($P$10+1)*((1+$K$10*$G$2))^C$1)</f>
        <v>3.7145715280076708</v>
      </c>
      <c r="D36" s="21">
        <f>(($P$10+1)*((1+$K$10*$G$2))^D$1)</f>
        <v>4.3866002565373661</v>
      </c>
      <c r="E36" s="21">
        <f>(($P$10+1)*((1+$K$10*$G$2))^E$1)</f>
        <v>5.1802103326233091</v>
      </c>
      <c r="L36" t="s">
        <v>7441</v>
      </c>
      <c r="M36" t="s">
        <v>7441</v>
      </c>
      <c r="N36" t="s">
        <v>7441</v>
      </c>
    </row>
    <row r="38" spans="1:14">
      <c r="A38" t="s">
        <v>223</v>
      </c>
      <c r="B38" s="1">
        <f>M11*0.3</f>
        <v>1.05</v>
      </c>
      <c r="C38" s="21">
        <f>(($N$11+1)*((1+$K$11*$G$2))^C$1)</f>
        <v>1.2257679337274683</v>
      </c>
      <c r="D38" s="21">
        <f>(($N$11+1)*((1+$K$11*$G$2))^D$1)</f>
        <v>1.4663727722813951</v>
      </c>
      <c r="E38" s="21">
        <f>(($N$11+1)*((1+$K$11*$G$2))^E$1)</f>
        <v>1.7542057090280361</v>
      </c>
    </row>
    <row r="39" spans="1:14" ht="15">
      <c r="A39" s="19">
        <f>J11</f>
        <v>2.4E-2</v>
      </c>
      <c r="B39" s="1">
        <f>M11*0.5</f>
        <v>1.75</v>
      </c>
      <c r="C39" s="21">
        <f>(($O$11+1)*((1+$K$11*$G$2))^C$1)</f>
        <v>2.0429465562124469</v>
      </c>
      <c r="D39" s="21">
        <f>(($O$11+1)*((1+$K$11*$G$2))^D$1)</f>
        <v>2.4439546204689915</v>
      </c>
      <c r="E39" s="21">
        <f>(($O$11+1)*((1+$K$11*$G$2))^E$1)</f>
        <v>2.9236761817133932</v>
      </c>
    </row>
    <row r="40" spans="1:14" ht="15">
      <c r="B40" s="1">
        <f>M11*0.7</f>
        <v>2.4499999999999997</v>
      </c>
      <c r="C40" s="21">
        <f>(($P$11+1)*((1+$K$11*$G$2))^C$1)</f>
        <v>2.8601251786974253</v>
      </c>
      <c r="D40" s="21">
        <f>(($P$11+1)*((1+$K$11*$G$2))^D$1)</f>
        <v>3.4215364686565879</v>
      </c>
      <c r="E40" s="21">
        <f>(($P$11+1)*((1+$K$11*$G$2))^E$1)</f>
        <v>4.0931466543987503</v>
      </c>
    </row>
    <row r="42" spans="1:14">
      <c r="A42" t="s">
        <v>7437</v>
      </c>
      <c r="B42" s="1">
        <f>M12*0.3</f>
        <v>1.512</v>
      </c>
      <c r="C42" s="21">
        <f>(($N$12+1)*((1+$K$12*$G$2))^C$1)</f>
        <v>1.3075112004129368</v>
      </c>
      <c r="D42" s="21">
        <f>(($N$12+1)*((1+$K$12*$G$2))^D$1)</f>
        <v>1.4298851779126347</v>
      </c>
      <c r="E42" s="21">
        <f>(($N$12+1)*((1+$K$12*$G$2))^E$1)</f>
        <v>1.5637125107368353</v>
      </c>
    </row>
    <row r="43" spans="1:14" ht="15">
      <c r="A43" s="19">
        <f>J12</f>
        <v>3.1965149999999998E-2</v>
      </c>
      <c r="B43" s="1">
        <f>M12*0.5</f>
        <v>2.52</v>
      </c>
      <c r="C43" s="21">
        <f>(($O$12+1)*((1+$K$12*$G$2))^C$1)</f>
        <v>2.179185334021561</v>
      </c>
      <c r="D43" s="21">
        <f>(($O$12+1)*((1+$K$12*$G$2))^D$1)</f>
        <v>2.3831419631877244</v>
      </c>
      <c r="E43" s="21">
        <f>(($O$12+1)*((1+$K$12*$G$2))^E$1)</f>
        <v>2.6061875178947251</v>
      </c>
    </row>
    <row r="44" spans="1:14" ht="15">
      <c r="B44" s="1">
        <f>M12*0.7</f>
        <v>3.5279999999999996</v>
      </c>
      <c r="C44" s="21">
        <f>(($P$12+1)*((1+$K$12*$G$2))^C$1)</f>
        <v>3.0508594676301848</v>
      </c>
      <c r="D44" s="21">
        <f>(($P$12+1)*((1+$K$12*$G$2))^D$1)</f>
        <v>3.3363987484628135</v>
      </c>
      <c r="E44" s="21">
        <f>(($P$12+1)*((1+$K$12*$G$2))^E$1)</f>
        <v>3.6486625250526141</v>
      </c>
    </row>
    <row r="45" spans="1:14" ht="15">
      <c r="B45" s="1"/>
      <c r="C45" s="21"/>
      <c r="D45" s="21"/>
      <c r="E45" s="21"/>
    </row>
    <row r="46" spans="1:14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ht="15">
      <c r="A47" s="19">
        <f>J13</f>
        <v>1.225E-2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ht="15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 ht="15">
      <c r="A51" s="19">
        <f>J14</f>
        <v>2.4E-2</v>
      </c>
      <c r="B51">
        <v>1.1369</v>
      </c>
      <c r="C51">
        <v>1.1369</v>
      </c>
      <c r="D51">
        <v>1.1369</v>
      </c>
      <c r="E51">
        <v>1.1369</v>
      </c>
    </row>
    <row r="52" spans="1:5" ht="15">
      <c r="B52">
        <v>1.1369</v>
      </c>
      <c r="C52">
        <v>1.1369</v>
      </c>
      <c r="D52">
        <v>1.1369</v>
      </c>
      <c r="E52">
        <v>1.1369</v>
      </c>
    </row>
    <row r="54" spans="1:5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ht="15">
      <c r="A55" s="19">
        <f>J15</f>
        <v>2.3474862499999999E-2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ht="1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0.28581265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7" t="s">
        <v>240</v>
      </c>
      <c r="D63" s="77" t="s">
        <v>241</v>
      </c>
      <c r="E63" s="77" t="s">
        <v>242</v>
      </c>
    </row>
    <row r="64" spans="1:5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5.8871467471229177E-2</v>
      </c>
      <c r="D64" s="92">
        <f>(D2*$A$3+D6*$A$7+D10*$A$11+D14*$A$15+D18*$A$19+D22*$A$23+D26*$A$27+D30*$A$31+D34*$A$35+D38*$A$39+D42*$A$43+D46*$A$47+D50*$A$51+D54*$A$55+D58*$A$59)^(1/$D$1)-1</f>
        <v>6.0150189054451353E-2</v>
      </c>
      <c r="E64" s="92">
        <f>(E2*$A$3+E6*$A$7+E10*$A$11+E14*$A$15+E18*$A$19+E22*$A$23+E26*$A$27+E30*$A$31+E34*$A$35+E38*$A$39+E42*$A$43+E46*$A$47+E50*$A$51+E54*$A$55+E58*$A$59)^(1/$E$1)-1</f>
        <v>6.077468562546029E-2</v>
      </c>
    </row>
    <row r="65" spans="2:5">
      <c r="B65" s="78" t="s">
        <v>236</v>
      </c>
      <c r="C65" s="91">
        <f>(C3*$A$3+C7*$A$7+C11*$A$11+C15*$A$15+C19*$A$19+C23*$A$23+C27*$A$27+C31*$A$31+C35*$A$35+C39*$A$39+C43*$A$43+C47*$A$47+C51*$A$51+C55*$A$55+C59*$A$59)^(1/$C$1)-1</f>
        <v>0.19793133932971929</v>
      </c>
      <c r="D65" s="93">
        <f>(D3*$A$3+D7*$A$7+D11*$A$11+D15*$A$15+D19*$A$19+D23*$A$23+D27*$A$27+D31*$A$31+D35*$A$35+D39*$A$39+D43*$A$43+D47*$A$47+D51*$A$51+D55*$A$55+D59*$A$59)^(1/$D$1)-1</f>
        <v>0.14327383154989271</v>
      </c>
      <c r="E65" s="92">
        <f>(E3*$A$3+E7*$A$7+E11*$A$11+E15*$A$15+E19*$A$19+E23*$A$23+E27*$A$27+E31*$A$31+E35*$A$35+E39*$A$39+E43*$A$43+E47*$A$47+E51*$A$51+E55*$A$55+E59*$A$59)^(1/$E$1)-1</f>
        <v>0.12090362874093219</v>
      </c>
    </row>
    <row r="66" spans="2:5">
      <c r="B66" s="77" t="s">
        <v>237</v>
      </c>
      <c r="C66" s="91">
        <f>(C4*$A$3+C8*$A$7+C12*$A$11+C16*$A$15+C20*$A$19+C24*$A$23+C28*$A$27+C32*$A$31+C36*$A$35+C40*$A$39+C44*$A$43+C48*$A$47+C52*$A$51+C56*$A$55+C60*$A$59)^(1/$C$1)-1</f>
        <v>0.3105534584938916</v>
      </c>
      <c r="D66" s="91">
        <f>(D4*$A$3+D8*$A$7+D12*$A$11+D16*$A$15+D20*$A$19+D24*$A$23+D28*$A$27+D32*$A$31+D36*$A$35+D40*$A$39+D44*$A$43+D48*$A$47+D52*$A$51+D56*$A$55+D60*$A$59)^(1/$D$1)-1</f>
        <v>0.20772233418380703</v>
      </c>
      <c r="E66" s="91">
        <f>(E4*$A$3+E8*$A$7+E12*$A$11+E16*$A$15+E20*$A$19+E24*$A$23+E28*$A$27+E32*$A$31+E36*$A$35+E40*$A$39+E44*$A$43+E48*$A$47+E52*$A$51+E56*$A$55+E60*$A$59)^(1/$E$1)-1</f>
        <v>0.16627859632063946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topLeftCell="F1" workbookViewId="0">
      <selection activeCell="N17" sqref="N17"/>
    </sheetView>
  </sheetViews>
  <sheetFormatPr defaultColWidth="8.875" defaultRowHeight="13.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>
      <c r="A2" s="25" t="s">
        <v>58</v>
      </c>
      <c r="B2" s="83">
        <f>已投部分年化收益率!Z13</f>
        <v>5.8900000000000001E-2</v>
      </c>
      <c r="C2" s="84" t="s">
        <v>244</v>
      </c>
      <c r="D2" s="84"/>
      <c r="E2" s="80" t="s">
        <v>249</v>
      </c>
      <c r="F2" s="81">
        <f>$B$2*K$2+$B$3*K$4+$B$4*K$5+$B$5*K$6+$B$6*K$7+$B$7*K$8+$B$8*K$9+$B$9*K$10+$B$10*K$11+$B$11*K$12+$B$12*K$13+$B13*$K$14</f>
        <v>1.1365241513750001E-2</v>
      </c>
      <c r="G2" s="81">
        <f>$B$16*K$2+$B$17*K$4+$B$18*K$5+$B$19*K$6+$B$20*K$7+$B$21*K$8+$B$22*K$9+$B$23*K$10+$B$24*K$11+$B$25*K$12+$B$26*K$13+$B$27*K$14</f>
        <v>1.120173E-2</v>
      </c>
      <c r="H2" s="79">
        <f>F2-G2</f>
        <v>1.6351151375000074E-4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$B$2*L$2+$B$3*L$4+$B$4*L$5+$B$5*L$6+$B$6*L$7+$B$7*L$8+$B$8*L$9+$B$9*L$10+$B$10*L$11+$B$11*L$12+$B$12*L$13+$B13*$L$14</f>
        <v>5.3811431077499999E-2</v>
      </c>
      <c r="G3" s="81">
        <f>$B$16*L$2+$B$17*L$4+$B$18*L$5+$B$19*L$6+$B$20*L$7+$B$21*L$8+$B$22*L$9+$B$23*L$10+$B$24*L$11+$B$25*L$12+$B$26*L$13+$B$27*L$14</f>
        <v>3.9125990000000006E-2</v>
      </c>
      <c r="H3" s="79">
        <f t="shared" ref="H3:H11" si="0">F3-G3</f>
        <v>1.4685441077499993E-2</v>
      </c>
      <c r="J3" s="94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>
      <c r="A4" s="80" t="s">
        <v>40</v>
      </c>
      <c r="B4" s="83">
        <f>已投部分年化收益率!Z15</f>
        <v>3.9856999999999997E-2</v>
      </c>
      <c r="C4" s="84" t="s">
        <v>246</v>
      </c>
      <c r="D4" s="84"/>
      <c r="E4" s="80" t="s">
        <v>250</v>
      </c>
      <c r="F4" s="81">
        <f>$B$2*M$2+$B$3*M$4+$B$4*M$5+$B$5*M$6+$B$6*M$7+$B$7*M$8+$B$8*M$9+$B$9*M$10+$B$10*M$11+$B$11*M$12+$B$12*M$13+$B13*$M$14</f>
        <v>0.11918286947874999</v>
      </c>
      <c r="G4" s="81">
        <f>$B$16*M$2+$B$17*M$4+$B$18*M$5+$B$19*M$6+$B$20*M$7+$B$21*M$8+$B$22*M$9+$B$23*M$10+$B$24*M$11+$B$25*M$12+$B$26*M$13+$B$27*M$14</f>
        <v>0.10271703000000001</v>
      </c>
      <c r="H4" s="79">
        <f t="shared" si="0"/>
        <v>1.646583947874998E-2</v>
      </c>
      <c r="J4" s="82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>
      <c r="A5" s="80" t="s">
        <v>18</v>
      </c>
      <c r="B5" s="83">
        <f>已投部分年化收益率!Z16</f>
        <v>0.21911088749999999</v>
      </c>
      <c r="C5" s="84" t="s">
        <v>247</v>
      </c>
      <c r="D5" s="84"/>
      <c r="E5" s="80" t="s">
        <v>251</v>
      </c>
      <c r="F5" s="81">
        <f>$B$2*N$2+$B$3*N$4+$B$4*N$5+$B$5*N$6+$B$6*N$7+$B$7*N$8+$B$8*N$9+$B$9*N$10+$B$10*N$11+$B$11*N$12+$B$12*N$13+$B13*$N$14</f>
        <v>7.6992721956249996E-2</v>
      </c>
      <c r="G5" s="81">
        <f>$B$16*N$2+$B$17*N$4+$B$18*N$5+$B$19*N$6+$B$20*N$7+$B$21*N$8+$B$22*N$9+$B$23*N$10+$B$24*N$11+$B$25*N$12+$B$26*N$13+$B$27*N$14</f>
        <v>6.5978250000000016E-2</v>
      </c>
      <c r="H5" s="79">
        <f t="shared" si="0"/>
        <v>1.101447195624998E-2</v>
      </c>
      <c r="J5" s="82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$B$2*O$2+$B$3*O$4+$B$4*O$5+$B$5*O$6+$B$6*O$7+$B$7*O$8+$B$8*O$9+$B$9*O$10+$B$10*O$11+$B$11*O$12+$B$12*O$13+$B13*$O$14</f>
        <v>3.1456937638750002E-2</v>
      </c>
      <c r="G6" s="81">
        <f>$B$16*O$2+$B$17*O$4+$B$18*O$5+$B$19*O$6+$B$20*O$7+$B$21*O$8+$B$22*O$9+$B$23*O$10+$B$24*O$11+$B$25*O$12+$B$26*O$13+$B$27*O$14</f>
        <v>3.198848E-2</v>
      </c>
      <c r="H6" s="79">
        <f t="shared" si="0"/>
        <v>-5.315423612499981E-4</v>
      </c>
      <c r="J6" s="82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$B$2*P$2+$B$3*P$4+$B$4*P$5+$B$5*P$6+$B$6*P$7+$B$7*P$8+$B$8*P$9+$B$9*P$10+$B$10*P$11+$B$11*P$12+$B$12*P$13+$B13*$P$14</f>
        <v>0.107861590195</v>
      </c>
      <c r="G7" s="81">
        <f>$B$16*P$2+$B$17*P$4+$B$18*P$5+$B$19*P$6+$B$20*P$7+$B$21*P$8+$B$22*P$9+$B$23*P$10+$B$24*P$11+$B$25*P$12+$B$26*P$13+$B$27*P$14</f>
        <v>9.9665850000000014E-2</v>
      </c>
      <c r="H7" s="79">
        <f t="shared" si="0"/>
        <v>8.1957401949999814E-3</v>
      </c>
      <c r="J7" s="82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$B$2*Q$2+$B$3*Q$4+$B$4*Q$5+$B$5*Q$6+$B$6*Q$7+$B$7*Q$8+$B$8*Q$9+$B$9*Q$10+$B$10*Q$11+$B$11*Q$12+$B$12*Q$13+$B13*$Q$14</f>
        <v>0.15371955681125002</v>
      </c>
      <c r="G8" s="81">
        <f>$B$16*Q$2+$B$17*Q$4+$B$18*Q$5+$B$19*Q$6+$B$20*Q$7+$B$21*Q$8+$B$22*Q$9+$B$23*Q$10+$B$24*Q$11+$B$25*Q$12+$B$26*Q$13+$B$27*Q$14</f>
        <v>0.18537292000000002</v>
      </c>
      <c r="H8" s="79">
        <f t="shared" si="0"/>
        <v>-3.1653363188750006E-2</v>
      </c>
      <c r="J8" s="82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>
      <c r="A9" s="25" t="s">
        <v>59</v>
      </c>
      <c r="B9" s="83">
        <f>已投部分年化收益率!Z34</f>
        <v>2.4E-2</v>
      </c>
      <c r="C9" s="84" t="s">
        <v>244</v>
      </c>
      <c r="D9" s="84"/>
      <c r="E9" s="80" t="s">
        <v>254</v>
      </c>
      <c r="F9" s="81">
        <f>$B$2*R$2+$B$3*R$4+$B$4*R$5+$B$5*R$6+$B$6*R$7+$B$7*R$8+$B$8*R$9+$B$9*R$10+$B$10*R$11+$B$11*R$12+$B$12*R$13+$B13*$R$14</f>
        <v>7.5959240501250011E-2</v>
      </c>
      <c r="G9" s="81">
        <f>$B$16*R$2+$B$17*R$4+$B$18*R$5+$B$19*R$6+$B$20*R$7+$B$21*R$8+$B$22*R$9+$B$23*R$10+$B$24*R$11+$B$25*R$12+$B$26*R$13+$B$27*R$14</f>
        <v>5.6698750000000006E-2</v>
      </c>
      <c r="H9" s="79">
        <f t="shared" si="0"/>
        <v>1.9260490501250005E-2</v>
      </c>
      <c r="J9" s="82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60</v>
      </c>
      <c r="B10" s="83">
        <f>已投部分年化收益率!Z21</f>
        <v>5.6750000000000002E-2</v>
      </c>
      <c r="C10" s="84" t="s">
        <v>268</v>
      </c>
      <c r="D10" s="84"/>
      <c r="E10" s="80" t="s">
        <v>257</v>
      </c>
      <c r="F10" s="81">
        <f>$B$2*S$2+$B$3*S$4+$B$4*S$5+$B$5*S$6+$B$6*S$7+$B$7*S$8+$B$8*S$9+$B$9*S$10+$B$10*S$11+$B$11*S$12+$B$12*S$13+$B13*$S$14</f>
        <v>5.841367018749999E-3</v>
      </c>
      <c r="G10" s="81">
        <f>$B$16*S$2+$B$17*S$4+$B$18*S$5+$B$19*S$6+$B$20*S$7+$B$21*S$8+$B$22*S$9+$B$23*S$10+$B$24*S$11+$B$25*S$12+$B$26*S$13+$B$27*S$14</f>
        <v>3.7004100000000003E-3</v>
      </c>
      <c r="H10" s="79">
        <f t="shared" si="0"/>
        <v>2.1409570187499987E-3</v>
      </c>
      <c r="J10" s="82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$B$2*T$2+$B$3*T$4+$B$4*T$5+$B$5*T$6+$B$6*T$7+$B$7*T$8+$B$8*T$9+$B$9*T$10+$B$10*T$11+$B$11*T$12+$B$12*T$13+$B13*$T$14</f>
        <v>2.6363448349999999E-2</v>
      </c>
      <c r="G11" s="81">
        <f>$B$16*T$2+$B$17*T$4+$B$18*T$5+$B$19*T$6+$B$20*T$7+$B$21*T$8+$B$22*T$9+$B$23*T$10+$B$24*T$11+$B$25*T$12+$B$26*T$13+$B$27*T$14</f>
        <v>2.6684090000000001E-2</v>
      </c>
      <c r="H11" s="79">
        <f t="shared" si="0"/>
        <v>-3.2064165000000172E-4</v>
      </c>
      <c r="J11" s="82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>
      <c r="A13" s="25" t="s">
        <v>3855</v>
      </c>
      <c r="B13" s="83">
        <f>已投部分年化收益率!Z18</f>
        <v>1.6085612499999999E-2</v>
      </c>
      <c r="C13" s="84" t="s">
        <v>3856</v>
      </c>
      <c r="J13" s="82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>
      <c r="J14" s="82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>
      <c r="A15" t="s">
        <v>274</v>
      </c>
      <c r="B15" t="s">
        <v>275</v>
      </c>
      <c r="G15" s="80"/>
      <c r="H15" s="80"/>
    </row>
    <row r="16" spans="1:20">
      <c r="A16" s="25" t="s">
        <v>58</v>
      </c>
      <c r="B16" s="18">
        <f>资产配置表!D3</f>
        <v>8.0399999999999999E-2</v>
      </c>
    </row>
    <row r="17" spans="1:22" ht="15">
      <c r="A17" s="80" t="s">
        <v>44</v>
      </c>
      <c r="B17" s="18">
        <f>资产配置表!D4</f>
        <v>6.0299999999999999E-2</v>
      </c>
    </row>
    <row r="18" spans="1:22" ht="15">
      <c r="A18" s="80" t="s">
        <v>40</v>
      </c>
      <c r="B18" s="18">
        <f>资产配置表!D5</f>
        <v>4.02E-2</v>
      </c>
    </row>
    <row r="19" spans="1:22" ht="15">
      <c r="A19" s="80" t="s">
        <v>18</v>
      </c>
      <c r="B19" s="18">
        <f>资产配置表!D6</f>
        <v>0.15410000000000001</v>
      </c>
    </row>
    <row r="20" spans="1:22" ht="15">
      <c r="A20" s="80" t="s">
        <v>19</v>
      </c>
      <c r="B20" s="18">
        <f>资产配置表!D7</f>
        <v>0</v>
      </c>
      <c r="U20" s="85"/>
    </row>
    <row r="21" spans="1:22">
      <c r="A21" s="80" t="s">
        <v>68</v>
      </c>
      <c r="B21" s="18">
        <f>资产配置表!D9</f>
        <v>6.7000000000000004E-2</v>
      </c>
      <c r="L21" s="85"/>
      <c r="M21" s="85"/>
      <c r="N21" s="85"/>
      <c r="O21" s="85"/>
      <c r="P21" s="85"/>
      <c r="Q21" s="85"/>
      <c r="R21" s="85"/>
      <c r="S21" s="85"/>
      <c r="T21" s="85"/>
      <c r="U21" s="18"/>
    </row>
    <row r="22" spans="1:22">
      <c r="A22" s="25" t="s">
        <v>56</v>
      </c>
      <c r="B22" s="18">
        <f>资产配置表!D10</f>
        <v>2.6800000000000001E-2</v>
      </c>
      <c r="L22" s="18"/>
      <c r="M22" s="18"/>
      <c r="N22" s="18"/>
      <c r="O22" s="18"/>
      <c r="P22" s="18"/>
    </row>
    <row r="23" spans="1:22">
      <c r="A23" s="25" t="s">
        <v>59</v>
      </c>
      <c r="B23" s="18">
        <f>资产配置表!D11</f>
        <v>2.01E-2</v>
      </c>
      <c r="U23" s="18"/>
      <c r="V23" s="18"/>
    </row>
    <row r="24" spans="1:22">
      <c r="A24" s="25" t="s">
        <v>60</v>
      </c>
      <c r="B24" s="18">
        <f>资产配置表!D12</f>
        <v>6.0299999999999999E-2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>
      <c r="A25" s="25" t="s">
        <v>57</v>
      </c>
      <c r="B25" s="18">
        <f>资产配置表!D13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>
      <c r="A26" s="80" t="s">
        <v>37</v>
      </c>
      <c r="B26" s="18">
        <f>资产配置表!D14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>
      <c r="A27" s="25" t="s">
        <v>3858</v>
      </c>
      <c r="B27" s="19">
        <f>资产配置表!D8</f>
        <v>2.01E-2</v>
      </c>
      <c r="K27" s="18"/>
      <c r="N27" s="18"/>
    </row>
    <row r="28" spans="1:22" ht="15">
      <c r="K28" s="18"/>
      <c r="N28" s="18"/>
    </row>
    <row r="29" spans="1:22" ht="15">
      <c r="K29" s="18"/>
      <c r="N29" s="18"/>
    </row>
    <row r="30" spans="1:22" ht="15">
      <c r="K30" s="18"/>
      <c r="N30" s="18"/>
    </row>
    <row r="31" spans="1:22" ht="15">
      <c r="K31" s="18"/>
      <c r="N31" s="18"/>
    </row>
    <row r="32" spans="1:22" ht="15">
      <c r="K32" s="18"/>
      <c r="N32" s="18"/>
    </row>
    <row r="33" spans="11:14" ht="15">
      <c r="K33" s="18"/>
      <c r="N33" s="18"/>
    </row>
    <row r="34" spans="11:14" ht="15">
      <c r="K34" s="18"/>
      <c r="N34" s="18"/>
    </row>
    <row r="35" spans="11:14" ht="15">
      <c r="K35" s="18"/>
      <c r="N35" s="18"/>
    </row>
    <row r="36" spans="11:14" ht="15">
      <c r="K36" s="18"/>
      <c r="N36" s="18"/>
    </row>
    <row r="37" spans="11:14" ht="15">
      <c r="K37" s="18"/>
      <c r="N37" s="18"/>
    </row>
    <row r="38" spans="11:14" ht="15">
      <c r="K38" s="18"/>
      <c r="N38" s="18"/>
    </row>
    <row r="39" spans="11:14" ht="15">
      <c r="K39" s="18"/>
      <c r="N39" s="18"/>
    </row>
    <row r="40" spans="11:14" ht="15">
      <c r="K40" s="18"/>
      <c r="N40" s="18"/>
    </row>
    <row r="41" spans="11:14" ht="15">
      <c r="K41" s="18"/>
      <c r="N41" s="18"/>
    </row>
    <row r="42" spans="11:14" ht="15">
      <c r="K42" s="18"/>
      <c r="N42" s="18"/>
    </row>
    <row r="43" spans="11:14" ht="15">
      <c r="K43" s="18"/>
      <c r="N43" s="18"/>
    </row>
    <row r="44" spans="11:14" ht="15">
      <c r="K44" s="18"/>
      <c r="N44" s="18"/>
    </row>
    <row r="45" spans="11:14" ht="15">
      <c r="K45" s="18"/>
      <c r="N45" s="18"/>
    </row>
    <row r="46" spans="11:14" ht="15">
      <c r="K46" s="18"/>
      <c r="N46" s="18"/>
    </row>
    <row r="47" spans="11:14" ht="15">
      <c r="K47" s="18"/>
      <c r="N47" s="18"/>
    </row>
    <row r="48" spans="11:14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defaultColWidth="8.875" defaultRowHeight="13.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2018-10-25T03:30:26Z</dcterms:modified>
</cp:coreProperties>
</file>