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6" i="1" l="1"/>
  <c r="J96" i="1"/>
  <c r="X34" i="1"/>
  <c r="H39" i="4"/>
  <c r="J39" i="4"/>
  <c r="I32" i="4"/>
  <c r="D53" i="5"/>
  <c r="D63" i="5"/>
  <c r="D71" i="5"/>
  <c r="D66" i="5"/>
  <c r="D69" i="5"/>
  <c r="W36" i="1"/>
  <c r="U36" i="1"/>
  <c r="S36" i="1"/>
  <c r="V36" i="1"/>
  <c r="T36" i="1"/>
  <c r="T34" i="1"/>
  <c r="V34" i="1"/>
  <c r="V29" i="1"/>
  <c r="I95" i="1"/>
  <c r="I96" i="1"/>
  <c r="K96" i="1"/>
  <c r="Y34" i="1"/>
  <c r="Z34" i="1"/>
  <c r="C9" i="4"/>
  <c r="G39" i="4"/>
  <c r="D27" i="4"/>
  <c r="D9" i="4"/>
  <c r="D17" i="4"/>
  <c r="D16" i="4"/>
  <c r="D13" i="4"/>
  <c r="D8" i="4"/>
  <c r="D5" i="4"/>
  <c r="D6" i="4"/>
  <c r="K100" i="1"/>
  <c r="J100" i="1"/>
  <c r="R6" i="1"/>
  <c r="V21" i="1"/>
  <c r="I99" i="1"/>
  <c r="K99" i="1"/>
  <c r="T21" i="1"/>
  <c r="H99" i="1"/>
  <c r="J99" i="1"/>
  <c r="K98" i="1"/>
  <c r="J98" i="1"/>
  <c r="U35" i="1"/>
  <c r="V35" i="1"/>
  <c r="I97" i="1"/>
  <c r="K97" i="1"/>
  <c r="S35" i="1"/>
  <c r="T35" i="1"/>
  <c r="W35" i="1"/>
  <c r="H97" i="1"/>
  <c r="T29" i="1"/>
  <c r="H95" i="1"/>
  <c r="K95" i="1"/>
  <c r="J95" i="1"/>
  <c r="V31" i="1"/>
  <c r="I94" i="1"/>
  <c r="K94" i="1"/>
  <c r="T31" i="1"/>
  <c r="H94" i="1"/>
  <c r="J94" i="1"/>
  <c r="V13" i="1"/>
  <c r="I93" i="1"/>
  <c r="K93" i="1"/>
  <c r="T13" i="1"/>
  <c r="H93" i="1"/>
  <c r="J93" i="1"/>
  <c r="J97" i="1"/>
  <c r="C58" i="7"/>
  <c r="T37" i="1"/>
  <c r="H45" i="1"/>
  <c r="J45" i="1"/>
  <c r="H55" i="1"/>
  <c r="J55" i="1"/>
  <c r="H86" i="1"/>
  <c r="J86" i="1"/>
  <c r="X37" i="1"/>
  <c r="R75" i="1"/>
  <c r="S75" i="1"/>
  <c r="T14" i="1"/>
  <c r="H60" i="1"/>
  <c r="J60" i="1"/>
  <c r="X14" i="1"/>
  <c r="R71" i="1"/>
  <c r="S71" i="1"/>
  <c r="T15" i="1"/>
  <c r="H47" i="1"/>
  <c r="J47" i="1"/>
  <c r="H53" i="1"/>
  <c r="J53" i="1"/>
  <c r="H68" i="1"/>
  <c r="J68" i="1"/>
  <c r="H80" i="1"/>
  <c r="J80" i="1"/>
  <c r="T20" i="1"/>
  <c r="H3" i="1"/>
  <c r="J3" i="1"/>
  <c r="H4" i="1"/>
  <c r="J4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3" i="1"/>
  <c r="J83" i="1"/>
  <c r="H85" i="1"/>
  <c r="J85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R72" i="1"/>
  <c r="S72" i="1"/>
  <c r="X16" i="1"/>
  <c r="R73" i="1"/>
  <c r="S73" i="1"/>
  <c r="X17" i="1"/>
  <c r="R74" i="1"/>
  <c r="S74" i="1"/>
  <c r="X18" i="1"/>
  <c r="R82" i="1"/>
  <c r="S82" i="1"/>
  <c r="X19" i="1"/>
  <c r="R78" i="1"/>
  <c r="S78" i="1"/>
  <c r="X21" i="1"/>
  <c r="R79" i="1"/>
  <c r="S79" i="1"/>
  <c r="X22" i="1"/>
  <c r="R76" i="1"/>
  <c r="S76" i="1"/>
  <c r="X23" i="1"/>
  <c r="R80" i="1"/>
  <c r="S80" i="1"/>
  <c r="X25" i="1"/>
  <c r="R77" i="1"/>
  <c r="S77" i="1"/>
  <c r="X13" i="1"/>
  <c r="R69" i="1"/>
  <c r="S69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7" i="1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V37" i="1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8" i="1"/>
  <c r="C21" i="4"/>
  <c r="J13" i="7"/>
  <c r="A47" i="7"/>
  <c r="Z42" i="1"/>
  <c r="C16" i="4"/>
  <c r="J14" i="7"/>
  <c r="A51" i="7"/>
  <c r="Z41" i="1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103" i="1"/>
  <c r="J105" i="1"/>
  <c r="J106" i="1"/>
  <c r="J108" i="1"/>
  <c r="J109" i="1"/>
  <c r="Q4" i="1"/>
  <c r="S4" i="1"/>
  <c r="Q5" i="1"/>
  <c r="S5" i="1"/>
  <c r="Q6" i="1"/>
  <c r="S6" i="1"/>
  <c r="M110" i="1"/>
  <c r="J110" i="1"/>
  <c r="J111" i="1"/>
  <c r="J112" i="1"/>
  <c r="J113" i="1"/>
  <c r="M114" i="1"/>
  <c r="J114" i="1"/>
  <c r="J115" i="1"/>
  <c r="J11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R50" i="1"/>
  <c r="R51" i="1"/>
  <c r="R52" i="1"/>
  <c r="R53" i="1"/>
  <c r="R54" i="1"/>
  <c r="R55" i="1"/>
  <c r="R56" i="1"/>
  <c r="R57" i="1"/>
  <c r="R58" i="1"/>
  <c r="S49" i="1"/>
  <c r="S50" i="1"/>
  <c r="S51" i="1"/>
  <c r="S52" i="1"/>
  <c r="S53" i="1"/>
  <c r="S54" i="1"/>
  <c r="S55" i="1"/>
  <c r="S56" i="1"/>
  <c r="S57" i="1"/>
  <c r="S58" i="1"/>
  <c r="T58" i="1"/>
  <c r="V39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I37" i="4"/>
  <c r="J37" i="4"/>
  <c r="V18" i="1"/>
  <c r="I87" i="1"/>
  <c r="K87" i="1"/>
  <c r="I85" i="1"/>
  <c r="K85" i="1"/>
  <c r="K84" i="1"/>
  <c r="I83" i="1"/>
  <c r="K83" i="1"/>
  <c r="U2" i="1"/>
  <c r="Q7" i="1"/>
  <c r="T50" i="1"/>
  <c r="T51" i="1"/>
  <c r="T52" i="1"/>
  <c r="T53" i="1"/>
  <c r="T54" i="1"/>
  <c r="T55" i="1"/>
  <c r="T56" i="1"/>
  <c r="T57" i="1"/>
  <c r="W60" i="1"/>
  <c r="R7" i="1"/>
  <c r="S7" i="1"/>
  <c r="S2" i="1"/>
  <c r="E23" i="5"/>
  <c r="Z40" i="1"/>
  <c r="Z43" i="1"/>
  <c r="Z44" i="1"/>
  <c r="Z45" i="1"/>
  <c r="C27" i="4"/>
  <c r="C18" i="4"/>
  <c r="G3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D48" i="5"/>
  <c r="T32" i="1"/>
  <c r="D51" i="5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2" i="4"/>
  <c r="D23" i="4"/>
  <c r="T33" i="1"/>
  <c r="D56" i="5"/>
  <c r="T26" i="1"/>
  <c r="D23" i="5"/>
  <c r="X24" i="1"/>
  <c r="X20" i="1"/>
  <c r="D24" i="4"/>
  <c r="D26" i="4"/>
  <c r="H5" i="4"/>
  <c r="E4" i="4"/>
  <c r="E8" i="4"/>
  <c r="E10" i="4"/>
  <c r="E13" i="4"/>
  <c r="C23" i="4"/>
  <c r="E23" i="4"/>
  <c r="E3" i="4"/>
  <c r="N134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T39" i="1"/>
  <c r="D43" i="5"/>
  <c r="T7" i="1"/>
  <c r="T4" i="1"/>
  <c r="D45" i="5"/>
  <c r="D25" i="5"/>
  <c r="D18" i="4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8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<sst xmlns="http://schemas.openxmlformats.org/spreadsheetml/2006/main" count="15439" uniqueCount="7476">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</sst>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0.22278688749999975</c:v>
                </c:pt>
                <c:pt idx="1">
                  <c:v>0.75476685000000021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6.6900000000000001E-2</c:v>
                </c:pt>
                <c:pt idx="1">
                  <c:v>4.7856999999999997E-2</c:v>
                </c:pt>
                <c:pt idx="2">
                  <c:v>0.2271108875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6.4750000000000002E-2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10.36193626133454</c:v>
                </c:pt>
                <c:pt idx="1">
                  <c:v>11.536463478335202</c:v>
                </c:pt>
                <c:pt idx="2">
                  <c:v>22.627504244054737</c:v>
                </c:pt>
                <c:pt idx="3">
                  <c:v>27.822537267324179</c:v>
                </c:pt>
                <c:pt idx="4">
                  <c:v>31.084335611636959</c:v>
                </c:pt>
                <c:pt idx="5">
                  <c:v>29.334793714838217</c:v>
                </c:pt>
                <c:pt idx="6">
                  <c:v>23.452498558068552</c:v>
                </c:pt>
                <c:pt idx="7">
                  <c:v>25.983136758016428</c:v>
                </c:pt>
                <c:pt idx="8">
                  <c:v>28.553373259232707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0.23450000000000001</c:v>
                </c:pt>
                <c:pt idx="1">
                  <c:v>0.75209999999999999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1.2187641513750002E-2</c:v>
                </c:pt>
                <c:pt idx="1">
                  <c:v>5.6352231077500002E-2</c:v>
                </c:pt>
                <c:pt idx="2">
                  <c:v>0.12486766947874998</c:v>
                </c:pt>
                <c:pt idx="3">
                  <c:v>8.0785521956249995E-2</c:v>
                </c:pt>
                <c:pt idx="4">
                  <c:v>3.4142537638749998E-2</c:v>
                </c:pt>
                <c:pt idx="5">
                  <c:v>0.118822390195</c:v>
                </c:pt>
                <c:pt idx="6">
                  <c:v>0.16007715681124998</c:v>
                </c:pt>
                <c:pt idx="7">
                  <c:v>8.108804050125E-2</c:v>
                </c:pt>
                <c:pt idx="8">
                  <c:v>6.11256701875E-3</c:v>
                </c:pt>
                <c:pt idx="9">
                  <c:v>2.812104835E-2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1.1556830000000001E-2</c:v>
                </c:pt>
                <c:pt idx="1">
                  <c:v>4.0939679999999999E-2</c:v>
                </c:pt>
                <c:pt idx="2">
                  <c:v>0.10626334000000001</c:v>
                </c:pt>
                <c:pt idx="3">
                  <c:v>6.7922590000000005E-2</c:v>
                </c:pt>
                <c:pt idx="4">
                  <c:v>3.3712390000000002E-2</c:v>
                </c:pt>
                <c:pt idx="5">
                  <c:v>0.1088147</c:v>
                </c:pt>
                <c:pt idx="6">
                  <c:v>0.18889108999999998</c:v>
                </c:pt>
                <c:pt idx="7">
                  <c:v>6.0823269999999999E-2</c:v>
                </c:pt>
                <c:pt idx="8">
                  <c:v>3.9275400000000002E-3</c:v>
                </c:pt>
                <c:pt idx="9">
                  <c:v>2.7083410000000002E-2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6"/>
  <sheetViews>
    <sheetView tabSelected="1" topLeftCell="A64" zoomScale="90" zoomScaleNormal="90" zoomScalePageLayoutView="90" workbookViewId="0">
      <selection activeCell="J79" sqref="J79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9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-9.4913044744791703E-2</v>
      </c>
      <c r="T2" s="18" t="s">
        <v>213</v>
      </c>
      <c r="U2" s="18">
        <f>(SUM(S4:S6) - SUM(Q4:Q6))/SUM(Q4:Q6)</f>
        <v>-0.1436835675810163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29.849932675044883</v>
      </c>
      <c r="I3" s="21">
        <f>$F3*$V$20</f>
        <v>3.4374775583482942</v>
      </c>
      <c r="J3" s="21">
        <f t="shared" ref="J3:J66" si="0">H3*(-$M3)</f>
        <v>220889.50179533212</v>
      </c>
      <c r="K3" s="21">
        <f t="shared" ref="K3:K66" si="1">I3*(-$M3)</f>
        <v>25437.333931777375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9.8854574132492115</v>
      </c>
      <c r="I4" s="21">
        <f>F4*$V$13</f>
        <v>1.1497003154574132</v>
      </c>
      <c r="J4" s="21">
        <f t="shared" si="0"/>
        <v>39146.411356466881</v>
      </c>
      <c r="K4" s="21">
        <f t="shared" si="1"/>
        <v>4552.8132492113564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244182.29</v>
      </c>
      <c r="R4" s="52">
        <v>-12690.14</v>
      </c>
      <c r="S4" s="69">
        <f>Q4+R4</f>
        <v>231492.15000000002</v>
      </c>
      <c r="T4" s="26">
        <f>S4/Q4-1</f>
        <v>-5.1969944257628131E-2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23.745744680851065</v>
      </c>
      <c r="I5" s="21">
        <f>E5*$V$21</f>
        <v>2.9130023640661937</v>
      </c>
      <c r="J5" s="21">
        <f t="shared" si="0"/>
        <v>94033.148936170212</v>
      </c>
      <c r="K5" s="21">
        <f t="shared" si="1"/>
        <v>11535.489361702128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-3993.8</v>
      </c>
      <c r="S5" s="69">
        <f>Q5+R5</f>
        <v>8006.2</v>
      </c>
      <c r="T5" s="26">
        <f>S5/Q5-1</f>
        <v>-0.33281666666666665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-73198.56</f>
        <v>-73198.559999999998</v>
      </c>
      <c r="S6" s="69">
        <f>Q6+R6</f>
        <v>296177.81</v>
      </c>
      <c r="T6" s="26">
        <f>S6/Q6-1</f>
        <v>-0.19816795535675436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31.140947037701977</v>
      </c>
      <c r="I7" s="21">
        <f>F7*$V$20</f>
        <v>3.5861490125673248</v>
      </c>
      <c r="J7" s="21">
        <f t="shared" si="0"/>
        <v>123318.15026929983</v>
      </c>
      <c r="K7" s="21">
        <f t="shared" si="1"/>
        <v>14201.150089766606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174441.33999999997</v>
      </c>
      <c r="R7" s="11">
        <f>W60</f>
        <v>13952.064204166669</v>
      </c>
      <c r="S7" s="11">
        <f>Q7+R7</f>
        <v>188393.40420416664</v>
      </c>
      <c r="T7" s="26">
        <f>S7/Q7-1</f>
        <v>7.9981409247181112E-2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24.691119820828668</v>
      </c>
      <c r="I8" s="21">
        <f>E8*$V$21</f>
        <v>3.0289759860644518</v>
      </c>
      <c r="J8" s="21">
        <f t="shared" si="0"/>
        <v>97776.834490481531</v>
      </c>
      <c r="K8" s="21">
        <f t="shared" si="1"/>
        <v>11994.744904815228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24.582228443449047</v>
      </c>
      <c r="I10" s="21">
        <f>E10*$V$21</f>
        <v>3.015617767823815</v>
      </c>
      <c r="J10" s="21">
        <f t="shared" si="0"/>
        <v>97345.62463605823</v>
      </c>
      <c r="K10" s="21">
        <f t="shared" si="1"/>
        <v>11941.846360582307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30.861229469732525</v>
      </c>
      <c r="I11" s="21">
        <f>F11*$V$19</f>
        <v>3.5539371187236046</v>
      </c>
      <c r="J11" s="21">
        <f t="shared" si="0"/>
        <v>123247.4060103238</v>
      </c>
      <c r="K11" s="21">
        <f t="shared" si="1"/>
        <v>14193.003277334587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43397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25.526143061260939</v>
      </c>
      <c r="I12" s="21">
        <f>F12*$V$16</f>
        <v>2.2416726201107342</v>
      </c>
      <c r="J12" s="21">
        <f t="shared" si="0"/>
        <v>99234.923242096804</v>
      </c>
      <c r="K12" s="21">
        <f t="shared" si="1"/>
        <v>8714.6816444900887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30.885190051618959</v>
      </c>
      <c r="I13" s="21">
        <f>F13*$V$19</f>
        <v>3.556696386672924</v>
      </c>
      <c r="J13" s="21">
        <f t="shared" si="0"/>
        <v>123438.83907930549</v>
      </c>
      <c r="K13" s="21">
        <f t="shared" si="1"/>
        <v>14215.048448615675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2.536</v>
      </c>
      <c r="S13" s="57">
        <v>10.06</v>
      </c>
      <c r="T13" s="58">
        <f t="shared" ref="T13:T25" si="2">S13/R13</f>
        <v>3.966876971608833</v>
      </c>
      <c r="U13" s="57">
        <v>1.17</v>
      </c>
      <c r="V13" s="58">
        <f>U13/R13</f>
        <v>0.46135646687697157</v>
      </c>
      <c r="W13" s="87">
        <v>0.1166</v>
      </c>
      <c r="X13" s="75">
        <f>SUMIF(C:C,"=红利",J:J)/SUMIF(C:C,"=红利",M:M)*-1</f>
        <v>10.36193626133454</v>
      </c>
      <c r="Y13" s="75">
        <f>SUMIF(C:C,"=红利",K:K)/SUMIF(C:C,"=红利",M:M)*-1</f>
        <v>1.205115847491194</v>
      </c>
      <c r="Z13" s="59">
        <f>(SUMIF(C:C,"=红利",M:M)*-1)/$Q$2</f>
        <v>6.6900000000000001E-2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23.949968744418648</v>
      </c>
      <c r="I14" s="21">
        <f>F14*$V$16</f>
        <v>2.1032550455438477</v>
      </c>
      <c r="J14" s="21">
        <f t="shared" si="0"/>
        <v>87340.746017145924</v>
      </c>
      <c r="K14" s="21">
        <f t="shared" si="1"/>
        <v>7670.1505000893039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2.464</v>
      </c>
      <c r="S14" s="57">
        <v>9.57</v>
      </c>
      <c r="T14" s="58">
        <f t="shared" si="2"/>
        <v>3.8839285714285716</v>
      </c>
      <c r="U14" s="57">
        <v>1.18</v>
      </c>
      <c r="V14" s="58">
        <f t="shared" ref="V14:V37" si="3">U14/R14</f>
        <v>0.47889610389610388</v>
      </c>
      <c r="W14" s="87">
        <v>0.12280000000000001</v>
      </c>
      <c r="X14" s="75">
        <f>SUMIF(C:C,"=50ETF",J:J)/SUMIF(C:C,"=50ETF",M:M)*-1</f>
        <v>9.2670535714285727</v>
      </c>
      <c r="Y14" s="75">
        <f>SUMIF(C:C,"=50ETF",K:K)/SUMIF(C:C,"=50ETF",M:M)*-1</f>
        <v>1.142646103896104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24.64657334826428</v>
      </c>
      <c r="I15" s="21">
        <f>E15*$V$21</f>
        <v>3.023511260420555</v>
      </c>
      <c r="J15" s="21">
        <f t="shared" si="0"/>
        <v>195200.86091825311</v>
      </c>
      <c r="K15" s="21">
        <f t="shared" si="1"/>
        <v>23946.209182530794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3.1697000000000002</v>
      </c>
      <c r="S15" s="57">
        <v>10.74</v>
      </c>
      <c r="T15" s="58">
        <f t="shared" si="2"/>
        <v>3.3883332807521214</v>
      </c>
      <c r="U15" s="57">
        <v>1.3</v>
      </c>
      <c r="V15" s="58">
        <f t="shared" si="3"/>
        <v>0.41013345111524752</v>
      </c>
      <c r="W15" s="87">
        <v>0.1215</v>
      </c>
      <c r="X15" s="75">
        <f>SUMIF(C:C,"=300ETF",J:J)/SUMIF(C:C,"=300ETF",M:M)*-1</f>
        <v>11.536463478335202</v>
      </c>
      <c r="Y15" s="75">
        <f>SUMIF(C:C,"=300ETF",K:K)/SUMIF(C:C,"=300ETF",M:M)*-1</f>
        <v>1.3964061938394567</v>
      </c>
      <c r="Z15" s="59">
        <f>(SUMIF(C:C,"=300ETF",M:M)*-1)/$Q$2</f>
        <v>4.7856999999999997E-2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30.094490849366498</v>
      </c>
      <c r="I16" s="21">
        <f>F16*$V$19</f>
        <v>3.4656405443453782</v>
      </c>
      <c r="J16" s="21">
        <f t="shared" si="0"/>
        <v>117175.90957109339</v>
      </c>
      <c r="K16" s="21">
        <f t="shared" si="1"/>
        <v>13493.818023463164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4.4791999999999996</v>
      </c>
      <c r="S16" s="57">
        <v>17.649999999999999</v>
      </c>
      <c r="T16" s="58">
        <f t="shared" si="2"/>
        <v>3.9404357921057334</v>
      </c>
      <c r="U16" s="57">
        <v>1.55</v>
      </c>
      <c r="V16" s="58">
        <f t="shared" si="3"/>
        <v>0.34604393641721742</v>
      </c>
      <c r="W16" s="87">
        <v>8.7599999999999997E-2</v>
      </c>
      <c r="X16" s="75">
        <f>SUMIF(C:C,"=500ETF",J:J)/SUMIF(C:C,"=500ETF",M:M)*-1</f>
        <v>22.627504244054737</v>
      </c>
      <c r="Y16" s="75">
        <f>SUMIF(C:C,"=500ETF",K:K)/SUMIF(C:C,"=500ETF",M:M)*-1</f>
        <v>1.987117936446734</v>
      </c>
      <c r="Z16" s="59">
        <f>(SUMIF(C:C,"=500ETF",M:M)*-1)/$Q$2</f>
        <v>0.2271108875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0.51959999999999995</v>
      </c>
      <c r="S17" s="57">
        <v>19.7</v>
      </c>
      <c r="T17" s="58">
        <f t="shared" si="2"/>
        <v>37.913779830638958</v>
      </c>
      <c r="U17" s="57">
        <v>1.76</v>
      </c>
      <c r="V17" s="58">
        <f t="shared" si="3"/>
        <v>3.387220939183988</v>
      </c>
      <c r="W17" s="87">
        <v>8.9099999999999999E-2</v>
      </c>
      <c r="X17" s="75">
        <f>SUMIF(C:C,"=1000ETF",J:J)/SUMIF(C:C,"=1000ETF",M:M)*-1</f>
        <v>27.822537267324179</v>
      </c>
      <c r="Y17" s="75">
        <f>SUMIF(C:C,"=1000ETF",K:K)/SUMIF(C:C,"=1000ETF",M:M)*-1</f>
        <v>2.4856683040858156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10.071900630914827</v>
      </c>
      <c r="I18" s="21">
        <f>F18*$V$13</f>
        <v>1.1713840694006308</v>
      </c>
      <c r="J18" s="21">
        <f t="shared" si="0"/>
        <v>39884.726498422715</v>
      </c>
      <c r="K18" s="21">
        <f t="shared" si="1"/>
        <v>4638.6809148264983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1.2033</v>
      </c>
      <c r="S18" s="57">
        <v>28</v>
      </c>
      <c r="T18" s="58">
        <f t="shared" si="2"/>
        <v>23.269342641070388</v>
      </c>
      <c r="U18" s="57">
        <v>3.26</v>
      </c>
      <c r="V18" s="58">
        <f t="shared" si="3"/>
        <v>2.7092163217817666</v>
      </c>
      <c r="W18" s="87">
        <v>0.1163</v>
      </c>
      <c r="X18" s="75">
        <f>SUMIF(C:C,"=创业板",J:J)/SUMIF(C:C,"=创业板",M:M)*-1</f>
        <v>31.084335611636959</v>
      </c>
      <c r="Y18" s="75">
        <f>SUMIF(C:C,"=创业板",K:K)/SUMIF(C:C,"=创业板",M:M)*-1</f>
        <v>3.6191047890691603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1.0654999999999999</v>
      </c>
      <c r="S19" s="57">
        <v>25.53</v>
      </c>
      <c r="T19" s="58">
        <f t="shared" si="2"/>
        <v>23.960581886438295</v>
      </c>
      <c r="U19" s="57">
        <v>2.94</v>
      </c>
      <c r="V19" s="58">
        <f t="shared" si="3"/>
        <v>2.7592679493195686</v>
      </c>
      <c r="W19" s="87">
        <v>0.1153</v>
      </c>
      <c r="X19" s="75">
        <f>SUMIF(C:C,"=医药",J:J)/SUMIF(C:C,"=医药",M:M)*-1</f>
        <v>29.334793714838217</v>
      </c>
      <c r="Y19" s="75">
        <f>SUMIF(C:C,"=医药",K:K)/SUMIF(C:C,"=医药",M:M)*-1</f>
        <v>3.378154857877961</v>
      </c>
      <c r="Z19" s="110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25.947769691016255</v>
      </c>
      <c r="I20" s="21">
        <f>F20*$V$16</f>
        <v>2.2786993213073767</v>
      </c>
      <c r="J20" s="21">
        <f t="shared" si="0"/>
        <v>205080.27357452226</v>
      </c>
      <c r="K20" s="21">
        <f t="shared" si="1"/>
        <v>18009.882381898555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0.66839999999999999</v>
      </c>
      <c r="S20" s="57">
        <v>25.53</v>
      </c>
      <c r="T20" s="58">
        <f t="shared" si="2"/>
        <v>38.195691202872531</v>
      </c>
      <c r="U20" s="57">
        <v>2.94</v>
      </c>
      <c r="V20" s="58">
        <f t="shared" si="3"/>
        <v>4.3985637342908435</v>
      </c>
      <c r="W20" s="87">
        <v>0.1153</v>
      </c>
      <c r="X20" s="75">
        <f>SUMIF(C:C,"=医药",J:J)/SUMIF(C:C,"=医药",M:M)*-1</f>
        <v>29.334793714838217</v>
      </c>
      <c r="Y20" s="75">
        <f>SUMIF(C:C,"=医药",K:K)/SUMIF(C:C,"=医药",M:M)*-1</f>
        <v>3.378154857877961</v>
      </c>
      <c r="Z20" s="111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30.394815047021943</v>
      </c>
      <c r="I21" s="21">
        <f>F21*$V$24</f>
        <v>2.4405768025078372</v>
      </c>
      <c r="J21" s="21">
        <f t="shared" si="0"/>
        <v>121579.26018808778</v>
      </c>
      <c r="K21" s="21">
        <f t="shared" si="1"/>
        <v>9762.3072100313493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0.80369999999999997</v>
      </c>
      <c r="S21" s="57">
        <v>19.89</v>
      </c>
      <c r="T21" s="58">
        <f t="shared" si="2"/>
        <v>24.748040313549833</v>
      </c>
      <c r="U21" s="57">
        <v>2.44</v>
      </c>
      <c r="V21" s="58">
        <f t="shared" si="3"/>
        <v>3.0359586910538758</v>
      </c>
      <c r="W21" s="87">
        <v>0.1227</v>
      </c>
      <c r="X21" s="75">
        <f>SUMIF(C:C,"=养老",J:J)/SUMIF(C:C,"=养老",M:M)*-1</f>
        <v>23.452498558068552</v>
      </c>
      <c r="Y21" s="75">
        <f>SUMIF(C:C,"=养老",K:K)/SUMIF(C:C,"=养老",M:M)*-1</f>
        <v>2.8384307788831866</v>
      </c>
      <c r="Z21" s="59">
        <f>(SUMIF(C:C,"=养老",M:M)*-1)/$Q$2</f>
        <v>6.4750000000000002E-2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25.376406501160925</v>
      </c>
      <c r="I22" s="21">
        <f t="shared" ref="I22:I23" si="4">F22*$V$16</f>
        <v>2.2285229505268802</v>
      </c>
      <c r="J22" s="21">
        <f t="shared" si="0"/>
        <v>98073.974553491717</v>
      </c>
      <c r="K22" s="21">
        <f t="shared" si="1"/>
        <v>8612.7286435077713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0.75900000000000001</v>
      </c>
      <c r="S22" s="57">
        <v>22.21</v>
      </c>
      <c r="T22" s="58">
        <f t="shared" si="2"/>
        <v>29.262187088274047</v>
      </c>
      <c r="U22" s="57">
        <v>1.23</v>
      </c>
      <c r="V22" s="58">
        <f t="shared" si="3"/>
        <v>1.6205533596837944</v>
      </c>
      <c r="W22" s="87">
        <v>5.5500000000000001E-2</v>
      </c>
      <c r="X22" s="75">
        <f>SUMIF(C:C,"=证券",J:J)/SUMIF(C:C,"=证券",M:M)*-1</f>
        <v>23.318468896545742</v>
      </c>
      <c r="Y22" s="75">
        <f>SUMIF(C:C,"=证券",K:K)/SUMIF(C:C,"=证券",M:M)*-1</f>
        <v>1.2913875165579136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25.904424897303091</v>
      </c>
      <c r="I23" s="21">
        <f t="shared" si="4"/>
        <v>2.2748928380067874</v>
      </c>
      <c r="J23" s="21">
        <f t="shared" si="0"/>
        <v>102197.87806059119</v>
      </c>
      <c r="K23" s="21">
        <f t="shared" si="1"/>
        <v>8974.8844755759983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0.62919999999999998</v>
      </c>
      <c r="S23" s="57">
        <v>18.93</v>
      </c>
      <c r="T23" s="58">
        <f t="shared" si="2"/>
        <v>30.085823267641452</v>
      </c>
      <c r="U23" s="57">
        <v>1.52</v>
      </c>
      <c r="V23" s="58">
        <f t="shared" si="3"/>
        <v>2.4157660521296886</v>
      </c>
      <c r="W23" s="87">
        <v>8.0399999999999999E-2</v>
      </c>
      <c r="X23" s="75">
        <f>SUMIF(C:C,"=环保",J:J)/SUMIF(C:C,"=环保",M:M)*-1</f>
        <v>25.983136758016428</v>
      </c>
      <c r="Y23" s="75">
        <f>SUMIF(C:C,"=环保",K:K)/SUMIF(C:C,"=环保",M:M)*-1</f>
        <v>2.0863374470250911</v>
      </c>
      <c r="Z23" s="110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11.206427444794954</v>
      </c>
      <c r="I24" s="21">
        <f>F24*$V$13</f>
        <v>1.3033320189274449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0.47849999999999998</v>
      </c>
      <c r="S24" s="57">
        <v>18.93</v>
      </c>
      <c r="T24" s="58">
        <f t="shared" si="2"/>
        <v>39.561128526645767</v>
      </c>
      <c r="U24" s="57">
        <v>1.52</v>
      </c>
      <c r="V24" s="58">
        <f t="shared" si="3"/>
        <v>3.1765935214211076</v>
      </c>
      <c r="W24" s="87">
        <v>8.0399999999999999E-2</v>
      </c>
      <c r="X24" s="75">
        <f>SUMIF(C:C,"=环保",J:J)/SUMIF(C:C,"=环保",M:M)*-1</f>
        <v>25.983136758016428</v>
      </c>
      <c r="Y24" s="75">
        <f>SUMIF(C:C,"=环保",K:K)/SUMIF(C:C,"=环保",M:M)*-1</f>
        <v>2.0863374470250911</v>
      </c>
      <c r="Z24" s="111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32.458196593217686</v>
      </c>
      <c r="I25" s="21">
        <f>F25*$V$25</f>
        <v>3.7037037037037037</v>
      </c>
      <c r="J25" s="21">
        <f t="shared" si="0"/>
        <v>129858.75293014532</v>
      </c>
      <c r="K25" s="21">
        <f t="shared" si="1"/>
        <v>14817.777777777779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0.63990000000000002</v>
      </c>
      <c r="S25" s="57">
        <v>20.77</v>
      </c>
      <c r="T25" s="58">
        <f t="shared" si="2"/>
        <v>32.458196593217686</v>
      </c>
      <c r="U25" s="57">
        <v>2.37</v>
      </c>
      <c r="V25" s="58">
        <f t="shared" si="3"/>
        <v>3.7037037037037037</v>
      </c>
      <c r="W25" s="87">
        <v>0.1143</v>
      </c>
      <c r="X25" s="75">
        <f>SUMIF(C:C,"=传媒",J:J)/SUMIF(C:C,"=传媒",M:M)*-1</f>
        <v>28.553373259232707</v>
      </c>
      <c r="Y25" s="75">
        <f>SUMIF(C:C,"=传媒",K:K)/SUMIF(C:C,"=传媒",M:M)*-1</f>
        <v>3.2581364768599688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25.415810859081979</v>
      </c>
      <c r="I26" s="21">
        <f>F26*$V$16</f>
        <v>2.2319833898910524</v>
      </c>
      <c r="J26" s="21">
        <f t="shared" si="0"/>
        <v>98378.758199008749</v>
      </c>
      <c r="K26" s="21">
        <f t="shared" si="1"/>
        <v>8639.4943460885879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0.83599999999999997</v>
      </c>
      <c r="S26" s="57">
        <v>9.57</v>
      </c>
      <c r="T26" s="58">
        <f t="shared" ref="T26:T37" si="5">S26/R26</f>
        <v>11.447368421052632</v>
      </c>
      <c r="U26" s="57">
        <v>1.18</v>
      </c>
      <c r="V26" s="58">
        <f t="shared" si="3"/>
        <v>1.4114832535885167</v>
      </c>
      <c r="W26" s="87">
        <v>0.12280000000000001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27.641360501567398</v>
      </c>
      <c r="I27" s="21">
        <f>F27*$V$24</f>
        <v>2.2194858934169277</v>
      </c>
      <c r="J27" s="21">
        <f t="shared" si="0"/>
        <v>110565.44200626959</v>
      </c>
      <c r="K27" s="21">
        <f t="shared" si="1"/>
        <v>8877.9435736677115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1.6234</v>
      </c>
      <c r="S27" s="57">
        <v>17.649999999999999</v>
      </c>
      <c r="T27" s="58">
        <f t="shared" si="5"/>
        <v>10.872243439694468</v>
      </c>
      <c r="U27" s="57">
        <v>1.55</v>
      </c>
      <c r="V27" s="58">
        <f t="shared" si="3"/>
        <v>0.95478625107798454</v>
      </c>
      <c r="W27" s="87">
        <v>8.7599999999999997E-2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23.812053491694947</v>
      </c>
      <c r="I28" s="21">
        <f t="shared" ref="I28:I29" si="6">F28*$V$16</f>
        <v>2.0911435077692451</v>
      </c>
      <c r="J28" s="21">
        <f t="shared" si="0"/>
        <v>187102.49594938831</v>
      </c>
      <c r="K28" s="21">
        <f t="shared" si="1"/>
        <v>16431.097377991609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0.46600000000000003</v>
      </c>
      <c r="S28" s="57">
        <v>17.649999999999999</v>
      </c>
      <c r="T28" s="58">
        <f t="shared" si="5"/>
        <v>37.875536480686691</v>
      </c>
      <c r="U28" s="57">
        <v>1.55</v>
      </c>
      <c r="V28" s="58">
        <f t="shared" si="3"/>
        <v>3.3261802575107295</v>
      </c>
      <c r="W28" s="87">
        <v>8.7599999999999997E-2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23.701721289515984</v>
      </c>
      <c r="I29" s="21">
        <f t="shared" si="6"/>
        <v>2.0814542775495628</v>
      </c>
      <c r="J29" s="21">
        <f t="shared" si="0"/>
        <v>1183533.1276969102</v>
      </c>
      <c r="K29" s="21">
        <f t="shared" si="1"/>
        <v>103936.3369932131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1.6359999999999999</v>
      </c>
      <c r="S29" s="57">
        <v>17.649999999999999</v>
      </c>
      <c r="T29" s="58">
        <f t="shared" si="5"/>
        <v>10.788508557457213</v>
      </c>
      <c r="U29" s="57">
        <v>1.55</v>
      </c>
      <c r="V29" s="58">
        <f t="shared" si="3"/>
        <v>0.94743276283618594</v>
      </c>
      <c r="W29" s="87">
        <v>8.7599999999999997E-2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10.658998422712934</v>
      </c>
      <c r="I30" s="21">
        <f>F30*$V$13</f>
        <v>1.2396648264984225</v>
      </c>
      <c r="J30" s="21">
        <f t="shared" si="0"/>
        <v>213179.96845425866</v>
      </c>
      <c r="K30" s="21">
        <f t="shared" si="1"/>
        <v>24793.296529968451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0.74329999999999996</v>
      </c>
      <c r="S30" s="57">
        <v>17.649999999999999</v>
      </c>
      <c r="T30" s="58">
        <f t="shared" si="5"/>
        <v>23.745459437642943</v>
      </c>
      <c r="U30" s="57">
        <v>1.55</v>
      </c>
      <c r="V30" s="58">
        <f t="shared" si="3"/>
        <v>2.0852953047221852</v>
      </c>
      <c r="W30" s="87">
        <v>8.7599999999999997E-2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29.421093148575832</v>
      </c>
      <c r="I31" s="21">
        <f>F31*$V$17</f>
        <v>2.628483448806775</v>
      </c>
      <c r="J31" s="21">
        <f t="shared" si="0"/>
        <v>589151.50608160126</v>
      </c>
      <c r="K31" s="21">
        <f t="shared" si="1"/>
        <v>52634.855365665906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1.5649999999999999</v>
      </c>
      <c r="S31" s="57">
        <v>10.74</v>
      </c>
      <c r="T31" s="58">
        <f t="shared" si="5"/>
        <v>6.86261980830671</v>
      </c>
      <c r="U31" s="57">
        <v>1.3</v>
      </c>
      <c r="V31" s="58">
        <f t="shared" si="3"/>
        <v>0.83067092651757191</v>
      </c>
      <c r="W31" s="87">
        <v>0.1215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28.814472671285607</v>
      </c>
      <c r="I32" s="21">
        <f>F32*$V$17</f>
        <v>2.5742879137798309</v>
      </c>
      <c r="J32" s="21">
        <f t="shared" si="0"/>
        <v>289124.70692840649</v>
      </c>
      <c r="K32" s="21">
        <f t="shared" si="1"/>
        <v>25830.430669745961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1.0389999999999999</v>
      </c>
      <c r="S32" s="57">
        <v>10.74</v>
      </c>
      <c r="T32" s="58">
        <f t="shared" si="5"/>
        <v>10.336862367661213</v>
      </c>
      <c r="U32" s="57">
        <v>1.3</v>
      </c>
      <c r="V32" s="58">
        <f t="shared" si="3"/>
        <v>1.2512030798845044</v>
      </c>
      <c r="W32" s="87">
        <v>0.1215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0.64090000000000003</v>
      </c>
      <c r="S33" s="57">
        <v>20.77</v>
      </c>
      <c r="T33" s="58">
        <f t="shared" si="5"/>
        <v>32.407551880168512</v>
      </c>
      <c r="U33" s="57">
        <v>2.37</v>
      </c>
      <c r="V33" s="58">
        <f t="shared" si="3"/>
        <v>3.697924793259479</v>
      </c>
      <c r="W33" s="87">
        <v>0.1143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27.186407523510972</v>
      </c>
      <c r="I34" s="21">
        <f>F34*$V$24</f>
        <v>2.1829550679205854</v>
      </c>
      <c r="J34" s="21">
        <f t="shared" si="0"/>
        <v>108745.6300940439</v>
      </c>
      <c r="K34" s="21">
        <f t="shared" si="1"/>
        <v>8731.8202716823416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1.7130000000000001</v>
      </c>
      <c r="S34" s="57">
        <v>20.6</v>
      </c>
      <c r="T34" s="58">
        <f t="shared" si="5"/>
        <v>12.025685931115003</v>
      </c>
      <c r="U34" s="57">
        <v>3.81</v>
      </c>
      <c r="V34" s="58">
        <f t="shared" si="3"/>
        <v>2.2241681260945709</v>
      </c>
      <c r="W34" s="100">
        <v>0.18490000000000001</v>
      </c>
      <c r="X34" s="75">
        <f>SUMIF(C:C,"=消费",J:J)/SUMIF(C:C,"=消费",M:M)*-1</f>
        <v>20.6</v>
      </c>
      <c r="Y34" s="75">
        <f>SUMIF(C:C,"=消费",K:K)/SUMIF(C:C,"=消费",M:M)*-1</f>
        <v>3.81</v>
      </c>
      <c r="Z34" s="10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27.047155117609666</v>
      </c>
      <c r="I35" s="21">
        <f>F35*$V$23</f>
        <v>2.17177368086459</v>
      </c>
      <c r="J35" s="21">
        <f t="shared" si="0"/>
        <v>109441.17422393517</v>
      </c>
      <c r="K35" s="21">
        <f t="shared" si="1"/>
        <v>8787.6695626191995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1.3342000000000001</v>
      </c>
      <c r="S35" s="57">
        <f>S18</f>
        <v>28</v>
      </c>
      <c r="T35" s="58">
        <f>S35/R35</f>
        <v>20.986358866736619</v>
      </c>
      <c r="U35" s="57">
        <f>U18</f>
        <v>3.26</v>
      </c>
      <c r="V35" s="58">
        <f>U35/R35</f>
        <v>2.4434117823414776</v>
      </c>
      <c r="W35" s="100">
        <f>W18</f>
        <v>0.1163</v>
      </c>
      <c r="X35" s="61"/>
      <c r="Y35" s="61"/>
      <c r="Z35" s="100"/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0.73219999999999996</v>
      </c>
      <c r="S36" s="57">
        <f>S18</f>
        <v>28</v>
      </c>
      <c r="T36" s="58">
        <f>S36/R36</f>
        <v>38.24091778202677</v>
      </c>
      <c r="U36" s="57">
        <f>U18</f>
        <v>3.26</v>
      </c>
      <c r="V36" s="58">
        <f>U36/R36</f>
        <v>4.4523354274788307</v>
      </c>
      <c r="W36" s="100">
        <f>W18</f>
        <v>0.1163</v>
      </c>
      <c r="X36" s="61"/>
      <c r="Y36" s="61"/>
      <c r="Z36" s="100"/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30.705453977183929</v>
      </c>
      <c r="I37" s="21">
        <f>F37*$V$25</f>
        <v>3.5037037037037035</v>
      </c>
      <c r="J37" s="21">
        <f t="shared" si="0"/>
        <v>197561.65438005934</v>
      </c>
      <c r="K37" s="21">
        <f t="shared" si="1"/>
        <v>22543.144962962964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0.91479999999999995</v>
      </c>
      <c r="S37" s="57">
        <v>8.14</v>
      </c>
      <c r="T37" s="58">
        <f t="shared" si="5"/>
        <v>8.8981198076082215</v>
      </c>
      <c r="U37" s="57">
        <v>1.08</v>
      </c>
      <c r="V37" s="58">
        <f t="shared" si="3"/>
        <v>1.180585920419764</v>
      </c>
      <c r="W37" s="87"/>
      <c r="X37" s="75">
        <f>SUMIF(C:C,"=金融地产",J:J)/SUMIF(C:C,"=金融地产",M:M)*-1</f>
        <v>8.0800859932954392</v>
      </c>
      <c r="Y37" s="75">
        <f>SUMIF(C:C,"=金融地产",K:K)/SUMIF(C:C,"=金融地产",M:M)*-1</f>
        <v>1.0720507214691737</v>
      </c>
      <c r="Z37" s="59">
        <f>(SUMIF(C:C,"=金融地产",M:M)*-1)/$Q$2</f>
        <v>2.4E-2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27.618785759694855</v>
      </c>
      <c r="I38" s="21">
        <f>F38*$V$23</f>
        <v>2.2176732358550542</v>
      </c>
      <c r="J38" s="21">
        <f t="shared" si="0"/>
        <v>530005.60347997467</v>
      </c>
      <c r="K38" s="21">
        <f t="shared" si="1"/>
        <v>42557.238102987925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1.089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1.225E-2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1.3507</v>
      </c>
      <c r="S39" s="57">
        <v>9.18</v>
      </c>
      <c r="T39" s="58">
        <f>S39/R39</f>
        <v>6.7964759013844667</v>
      </c>
      <c r="U39" s="57">
        <v>1.04</v>
      </c>
      <c r="V39" s="58">
        <f>U39/R39</f>
        <v>0.76997112608277196</v>
      </c>
      <c r="W39" s="58"/>
      <c r="X39" s="2"/>
      <c r="Y39" s="74"/>
      <c r="Z39" s="59">
        <v>0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26.014084321475629</v>
      </c>
      <c r="I40" s="21">
        <f>F40*$V$22</f>
        <v>1.4406719367588934</v>
      </c>
      <c r="J40" s="21">
        <f t="shared" si="0"/>
        <v>333088.49790566537</v>
      </c>
      <c r="K40" s="21">
        <f t="shared" si="1"/>
        <v>18446.593985770753</v>
      </c>
      <c r="L40" s="5" t="s">
        <v>24</v>
      </c>
      <c r="M40" s="1">
        <v>-12804.16</v>
      </c>
      <c r="N40" s="4">
        <v>2.5599999999994907</v>
      </c>
      <c r="O40" s="4"/>
      <c r="P40" s="25" t="s">
        <v>186</v>
      </c>
      <c r="Q40" s="63" t="s">
        <v>197</v>
      </c>
      <c r="R40" s="64">
        <v>1.0124</v>
      </c>
      <c r="S40" s="2"/>
      <c r="T40" s="2"/>
      <c r="U40" s="74"/>
      <c r="V40" s="74"/>
      <c r="W40" s="88"/>
      <c r="X40" s="2"/>
      <c r="Y40" s="74"/>
      <c r="Z40" s="59">
        <f>(SUMIF(C:C,"=国债",M:M)*-1)/$Q$2</f>
        <v>4.2190250000000004E-3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30.705453977183929</v>
      </c>
      <c r="I41" s="21">
        <f>F41*$V$25</f>
        <v>3.5037037037037035</v>
      </c>
      <c r="J41" s="21">
        <f t="shared" si="0"/>
        <v>197561.65438005934</v>
      </c>
      <c r="K41" s="21">
        <f t="shared" si="1"/>
        <v>22543.144962962964</v>
      </c>
      <c r="L41" s="5" t="s">
        <v>24</v>
      </c>
      <c r="M41" s="1">
        <v>-6434.09</v>
      </c>
      <c r="N41" s="4">
        <v>1.29</v>
      </c>
      <c r="O41" s="4"/>
      <c r="P41" s="25" t="s">
        <v>187</v>
      </c>
      <c r="Q41" s="63" t="s">
        <v>198</v>
      </c>
      <c r="R41" s="64">
        <v>1.4219999999999999</v>
      </c>
      <c r="S41" s="2"/>
      <c r="T41" s="2"/>
      <c r="U41" s="74"/>
      <c r="V41" s="74"/>
      <c r="W41" s="88"/>
      <c r="X41" s="2"/>
      <c r="Y41" s="74"/>
      <c r="Z41" s="59">
        <f>(SUMIF(C:C,"=海外债",M:M)*-1)/$Q$2</f>
        <v>1.4908837499999999E-2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23.65837649580282</v>
      </c>
      <c r="I42" s="21">
        <f>F42*$V$16</f>
        <v>2.0776477942489731</v>
      </c>
      <c r="J42" s="21">
        <f t="shared" si="0"/>
        <v>156280.6107858546</v>
      </c>
      <c r="K42" s="21">
        <f t="shared" si="1"/>
        <v>13724.359587426326</v>
      </c>
      <c r="L42" s="5" t="s">
        <v>24</v>
      </c>
      <c r="M42" s="1">
        <v>-6605.72</v>
      </c>
      <c r="N42" s="4">
        <v>1.32</v>
      </c>
      <c r="O42" s="4"/>
      <c r="P42" s="25" t="s">
        <v>188</v>
      </c>
      <c r="Q42" s="63">
        <v>340001</v>
      </c>
      <c r="R42" s="64">
        <v>3.6057999999999999</v>
      </c>
      <c r="S42" s="2"/>
      <c r="T42" s="2"/>
      <c r="U42" s="74"/>
      <c r="V42" s="74"/>
      <c r="W42" s="88"/>
      <c r="X42" s="2"/>
      <c r="Y42" s="74"/>
      <c r="Z42" s="59">
        <f>(SUMIF(C:C,"=可转债",M:M)*-1)/$Q$2</f>
        <v>3.2000000000000001E-2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21</v>
      </c>
      <c r="Q43" s="63">
        <v>518880</v>
      </c>
      <c r="R43" s="64">
        <v>1.0348999999999999</v>
      </c>
      <c r="S43" s="2"/>
      <c r="T43" s="2"/>
      <c r="U43" s="74"/>
      <c r="V43" s="74"/>
      <c r="W43" s="88"/>
      <c r="X43" s="2"/>
      <c r="Y43" s="74"/>
      <c r="Z43" s="59">
        <f>(SUMIF(C:C,"=黄金",M:M)*-1)/$Q$2</f>
        <v>8.0536124999999997E-3</v>
      </c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23.280094659760675</v>
      </c>
      <c r="I44" s="21">
        <f>F44*$V$16</f>
        <v>2.0444275763529207</v>
      </c>
      <c r="J44" s="21">
        <f t="shared" si="0"/>
        <v>151322.94329791036</v>
      </c>
      <c r="K44" s="21">
        <f t="shared" si="1"/>
        <v>13288.98368905162</v>
      </c>
      <c r="L44" s="5" t="s">
        <v>24</v>
      </c>
      <c r="M44" s="1">
        <v>-6500.1</v>
      </c>
      <c r="N44" s="4">
        <v>1.3</v>
      </c>
      <c r="O44" s="4"/>
      <c r="P44" s="25" t="s">
        <v>65</v>
      </c>
      <c r="Q44" s="63"/>
      <c r="R44" s="64"/>
      <c r="S44" s="2"/>
      <c r="T44" s="2"/>
      <c r="U44" s="74"/>
      <c r="V44" s="74"/>
      <c r="W44" s="88"/>
      <c r="X44" s="2"/>
      <c r="Y44" s="74"/>
      <c r="Z44" s="59">
        <f>(SUMIF(C:C,"=白银",M:M)*-1)/$Q$2</f>
        <v>1.4392650000000002E-2</v>
      </c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8.399825098382161</v>
      </c>
      <c r="I45" s="21">
        <f>F45*$V$37</f>
        <v>1.1144731088762572</v>
      </c>
      <c r="J45" s="21">
        <f t="shared" si="0"/>
        <v>53758.880629645828</v>
      </c>
      <c r="K45" s="21">
        <f t="shared" si="1"/>
        <v>7132.627896808046</v>
      </c>
      <c r="L45" s="7" t="s">
        <v>10</v>
      </c>
      <c r="M45" s="1">
        <v>-6400</v>
      </c>
      <c r="N45" s="4">
        <v>7.67</v>
      </c>
      <c r="O45" s="4"/>
      <c r="P45" s="25" t="s">
        <v>66</v>
      </c>
      <c r="Q45" s="63"/>
      <c r="R45" s="2"/>
      <c r="S45" s="2"/>
      <c r="T45" s="2"/>
      <c r="U45" s="74"/>
      <c r="V45" s="74"/>
      <c r="W45" s="88"/>
      <c r="X45" s="2"/>
      <c r="Y45" s="74"/>
      <c r="Z45" s="59">
        <f>1-SUM(Z13:Z44)</f>
        <v>0.20365902499999977</v>
      </c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22.858468030005358</v>
      </c>
      <c r="I46" s="21">
        <f>F46*$V$16</f>
        <v>2.0074008751562782</v>
      </c>
      <c r="J46" s="21">
        <f t="shared" si="0"/>
        <v>437674.05897135654</v>
      </c>
      <c r="K46" s="21">
        <f t="shared" si="1"/>
        <v>38435.965518731027</v>
      </c>
      <c r="L46" s="5" t="s">
        <v>24</v>
      </c>
      <c r="M46" s="1">
        <v>-19147.13</v>
      </c>
      <c r="N46" s="4">
        <v>3.83</v>
      </c>
      <c r="O46" s="4"/>
      <c r="P46" s="2"/>
      <c r="Q46" s="2"/>
      <c r="R46" s="2"/>
      <c r="S46" s="2"/>
      <c r="T46" s="2"/>
      <c r="U46" s="2"/>
      <c r="V46" s="74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12.343698141779978</v>
      </c>
      <c r="I47" s="21">
        <f>F47*$V$15</f>
        <v>1.4941161624128467</v>
      </c>
      <c r="J47" s="21">
        <f t="shared" si="0"/>
        <v>80958.736439473752</v>
      </c>
      <c r="K47" s="21">
        <f t="shared" si="1"/>
        <v>9799.4746155787616</v>
      </c>
      <c r="L47" s="5" t="s">
        <v>24</v>
      </c>
      <c r="M47" s="1">
        <v>-6558.71</v>
      </c>
      <c r="N47" s="4">
        <v>1.31</v>
      </c>
      <c r="O47" s="4"/>
      <c r="P47" s="2"/>
      <c r="Q47" s="2"/>
      <c r="R47" s="2" t="s">
        <v>119</v>
      </c>
      <c r="S47" s="2"/>
      <c r="T47" s="2"/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21.770907751384179</v>
      </c>
      <c r="I48" s="21">
        <f t="shared" ref="I48:I49" si="7">F48*$V$16</f>
        <v>1.9118927487051265</v>
      </c>
      <c r="J48" s="21">
        <f t="shared" si="0"/>
        <v>276709.10835640301</v>
      </c>
      <c r="K48" s="21">
        <f t="shared" si="1"/>
        <v>24300.233311752108</v>
      </c>
      <c r="L48" s="5" t="s">
        <v>24</v>
      </c>
      <c r="M48" s="1">
        <v>-12710.04</v>
      </c>
      <c r="N48" s="4">
        <v>2.54</v>
      </c>
      <c r="O48" s="4"/>
      <c r="P48" s="2"/>
      <c r="Q48" s="2" t="s">
        <v>7420</v>
      </c>
      <c r="R48" s="2" t="s">
        <v>161</v>
      </c>
      <c r="S48" s="2" t="s">
        <v>162</v>
      </c>
      <c r="T48" s="2" t="s">
        <v>163</v>
      </c>
      <c r="U48" s="2" t="s">
        <v>164</v>
      </c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21.329578942668334</v>
      </c>
      <c r="I49" s="21">
        <f t="shared" si="7"/>
        <v>1.8731358278263981</v>
      </c>
      <c r="J49" s="21">
        <f t="shared" si="0"/>
        <v>138576.14143262189</v>
      </c>
      <c r="K49" s="21">
        <f t="shared" si="1"/>
        <v>12169.576159805325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2">
        <v>0</v>
      </c>
      <c r="R49" s="2">
        <v>93506.63</v>
      </c>
      <c r="S49" s="2">
        <f>$Q$2-R49</f>
        <v>706493.37</v>
      </c>
      <c r="T49" s="2">
        <v>0</v>
      </c>
      <c r="U49" s="60">
        <v>3.5000000000000003E-2</v>
      </c>
      <c r="V49" s="60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50">
        <v>6627.55</v>
      </c>
      <c r="R50" s="50">
        <f>R49+Q50</f>
        <v>100134.18000000001</v>
      </c>
      <c r="S50" s="50">
        <f>S49-Q50</f>
        <v>699865.82</v>
      </c>
      <c r="T50" s="50">
        <f>(S49*$U$49)/12</f>
        <v>2060.6056625000001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22.502621870882741</v>
      </c>
      <c r="I51" s="21">
        <f>F51*$V$22</f>
        <v>1.2462055335968381</v>
      </c>
      <c r="J51" s="21">
        <f t="shared" si="0"/>
        <v>143656.28797127798</v>
      </c>
      <c r="K51" s="21">
        <f t="shared" si="1"/>
        <v>7955.7512023715417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50">
        <v>65662.720000000001</v>
      </c>
      <c r="R51" s="50">
        <f>R50+Q51</f>
        <v>165796.90000000002</v>
      </c>
      <c r="S51" s="50">
        <f>S50-Q51</f>
        <v>634203.1</v>
      </c>
      <c r="T51" s="50">
        <f t="shared" ref="T51:T56" si="8">(S50*$U$49)/12</f>
        <v>2041.2753083333334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34.159394997091326</v>
      </c>
      <c r="I52" s="21">
        <f>F52*$V$18</f>
        <v>3.9771295603756331</v>
      </c>
      <c r="J52" s="21">
        <f t="shared" si="0"/>
        <v>220686.42978475854</v>
      </c>
      <c r="K52" s="21">
        <f t="shared" si="1"/>
        <v>25694.205753511174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50">
        <v>0</v>
      </c>
      <c r="R52" s="50">
        <f t="shared" ref="R52:R57" si="9">R51+Q52</f>
        <v>165796.90000000002</v>
      </c>
      <c r="S52" s="50">
        <f t="shared" ref="S52:S57" si="10">S51-Q52</f>
        <v>634203.1</v>
      </c>
      <c r="T52" s="50">
        <f>(S51*$U$49)/12</f>
        <v>1849.7590416666669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11.682973152033314</v>
      </c>
      <c r="I53" s="21">
        <f>F53*$V$15</f>
        <v>1.4141401394453734</v>
      </c>
      <c r="J53" s="21">
        <f t="shared" si="0"/>
        <v>72523.691457488094</v>
      </c>
      <c r="K53" s="21">
        <f t="shared" si="1"/>
        <v>8778.4728952266778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50">
        <v>54032.87</v>
      </c>
      <c r="R53" s="50">
        <f t="shared" si="9"/>
        <v>219829.77000000002</v>
      </c>
      <c r="S53" s="50">
        <f t="shared" si="10"/>
        <v>580170.23</v>
      </c>
      <c r="T53" s="50">
        <f t="shared" si="8"/>
        <v>1849.7590416666669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22.985568976478071</v>
      </c>
      <c r="I54" s="21">
        <f>F54*$V$23</f>
        <v>1.8456452638270822</v>
      </c>
      <c r="J54" s="21">
        <f t="shared" si="0"/>
        <v>147541.60899173556</v>
      </c>
      <c r="K54" s="21">
        <f t="shared" si="1"/>
        <v>11846.975471074382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50">
        <v>89910.99</v>
      </c>
      <c r="R54" s="50">
        <f t="shared" si="9"/>
        <v>309740.76</v>
      </c>
      <c r="S54" s="50">
        <f t="shared" si="10"/>
        <v>490259.24</v>
      </c>
      <c r="T54" s="50">
        <f t="shared" si="8"/>
        <v>1692.1631708333334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7.5634018364669879</v>
      </c>
      <c r="I55" s="21">
        <f>F55*$V$37</f>
        <v>1.0034980323567992</v>
      </c>
      <c r="J55" s="21">
        <f t="shared" ref="J55" si="11">H55*(-$M55)</f>
        <v>48405.771753388726</v>
      </c>
      <c r="K55" s="21">
        <f t="shared" ref="K55" si="12">I55*(-$M55)</f>
        <v>6422.3874070835154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50">
        <v>89683.87</v>
      </c>
      <c r="R55" s="50">
        <f t="shared" si="9"/>
        <v>399424.63</v>
      </c>
      <c r="S55" s="50">
        <f t="shared" si="10"/>
        <v>400575.37</v>
      </c>
      <c r="T55" s="50">
        <f t="shared" si="8"/>
        <v>1429.9227833333334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10.361482649842273</v>
      </c>
      <c r="I56" s="21">
        <f>F56*$V$13</f>
        <v>1.2050630914826499</v>
      </c>
      <c r="J56" s="21">
        <f t="shared" si="0"/>
        <v>66313.488958990551</v>
      </c>
      <c r="K56" s="21">
        <f t="shared" si="1"/>
        <v>7712.4037854889593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50">
        <v>52162.37</v>
      </c>
      <c r="R56" s="50">
        <f t="shared" si="9"/>
        <v>451587</v>
      </c>
      <c r="S56" s="50">
        <f t="shared" si="10"/>
        <v>348413</v>
      </c>
      <c r="T56" s="50">
        <f t="shared" si="8"/>
        <v>1168.3448291666666</v>
      </c>
      <c r="U56" s="2"/>
      <c r="V56" s="74"/>
      <c r="W56" s="2"/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24.740615901455769</v>
      </c>
      <c r="I57" s="21">
        <f>E57*$V$21</f>
        <v>3.0350479034465598</v>
      </c>
      <c r="J57" s="21">
        <f t="shared" si="0"/>
        <v>158339.94176931691</v>
      </c>
      <c r="K57" s="21">
        <f t="shared" si="1"/>
        <v>19424.306582057983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50">
        <v>59031.360000000001</v>
      </c>
      <c r="R57" s="50">
        <f t="shared" si="9"/>
        <v>510618.36</v>
      </c>
      <c r="S57" s="50">
        <f t="shared" si="10"/>
        <v>289381.64</v>
      </c>
      <c r="T57" s="50">
        <f>(S56*$U$49)/12</f>
        <v>1016.2045833333335</v>
      </c>
      <c r="U57" s="2"/>
      <c r="V57" s="74"/>
      <c r="W57" s="2"/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10.290078864353312</v>
      </c>
      <c r="I58" s="21">
        <f>F58*$V$13</f>
        <v>1.1967586750788641</v>
      </c>
      <c r="J58" s="21">
        <f t="shared" si="0"/>
        <v>65856.504731861191</v>
      </c>
      <c r="K58" s="21">
        <f t="shared" si="1"/>
        <v>7659.2555205047302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50">
        <v>54609.62</v>
      </c>
      <c r="R58" s="61">
        <f t="shared" ref="R58" si="13">R57+Q58</f>
        <v>565227.98</v>
      </c>
      <c r="S58" s="61">
        <f t="shared" ref="S58" si="14">S57-Q58</f>
        <v>234772.02000000002</v>
      </c>
      <c r="T58" s="61">
        <f>(S57*$U$49)/12</f>
        <v>844.0297833333334</v>
      </c>
      <c r="U58" s="2"/>
      <c r="V58" s="74"/>
      <c r="W58" s="2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50">
        <v>0</v>
      </c>
      <c r="R59" s="50"/>
      <c r="S59" s="50"/>
      <c r="T59" s="50"/>
      <c r="U59" s="2"/>
      <c r="V59" s="74"/>
      <c r="W59" s="2" t="s">
        <v>165</v>
      </c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9.2670535714285727</v>
      </c>
      <c r="I60" s="21">
        <f>F60*$V$14</f>
        <v>1.142646103896104</v>
      </c>
      <c r="J60" s="21">
        <f t="shared" si="0"/>
        <v>59712.167016964289</v>
      </c>
      <c r="K60" s="21">
        <f t="shared" si="1"/>
        <v>7362.6287439935068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50">
        <v>0</v>
      </c>
      <c r="R60" s="50"/>
      <c r="S60" s="50"/>
      <c r="T60" s="50"/>
      <c r="U60" s="2"/>
      <c r="V60" s="74"/>
      <c r="W60" s="61">
        <f>SUM(T49:T60)</f>
        <v>13952.064204166669</v>
      </c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26.550804813252064</v>
      </c>
      <c r="I62" s="21">
        <f>F62*$V$25</f>
        <v>3.0296296296296297</v>
      </c>
      <c r="J62" s="21">
        <f t="shared" si="0"/>
        <v>169438.74006063445</v>
      </c>
      <c r="K62" s="21">
        <f t="shared" si="1"/>
        <v>19334.126814814816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24.719784449576601</v>
      </c>
      <c r="I64" s="21">
        <f>F64*$V$17</f>
        <v>2.2084680523479601</v>
      </c>
      <c r="J64" s="21">
        <f t="shared" si="0"/>
        <v>80602.565165511944</v>
      </c>
      <c r="K64" s="21">
        <f t="shared" si="1"/>
        <v>7201.0413548883762</v>
      </c>
      <c r="L64" s="5" t="s">
        <v>24</v>
      </c>
      <c r="M64" s="1">
        <v>-3260.65</v>
      </c>
      <c r="N64" s="4">
        <v>0.65</v>
      </c>
      <c r="O64" s="4"/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21.361102429005182</v>
      </c>
      <c r="I65" s="21">
        <f>F65*$V$16</f>
        <v>1.8759041793177358</v>
      </c>
      <c r="J65" s="21">
        <f t="shared" si="0"/>
        <v>138986.01295432221</v>
      </c>
      <c r="K65" s="21">
        <f t="shared" si="1"/>
        <v>12205.570542730848</v>
      </c>
      <c r="L65" s="5" t="s">
        <v>24</v>
      </c>
      <c r="M65" s="1">
        <v>-6506.5</v>
      </c>
      <c r="N65" s="4">
        <v>1.3</v>
      </c>
      <c r="O65" s="4"/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23.468629715165516</v>
      </c>
      <c r="I66" s="21">
        <f>F66*$V$17</f>
        <v>2.0966897613548885</v>
      </c>
      <c r="J66" s="21">
        <f t="shared" si="0"/>
        <v>75555.845250192477</v>
      </c>
      <c r="K66" s="21">
        <f t="shared" si="1"/>
        <v>6750.1668852963821</v>
      </c>
      <c r="L66" s="5" t="s">
        <v>24</v>
      </c>
      <c r="M66" s="1">
        <v>-3219.44</v>
      </c>
      <c r="N66" s="4">
        <v>0.64</v>
      </c>
      <c r="O66" s="4"/>
      <c r="R66" s="15"/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20.269601714591893</v>
      </c>
      <c r="I67" s="21">
        <f>F67*$V$16</f>
        <v>1.7800500089301665</v>
      </c>
      <c r="J67" s="21">
        <f t="shared" ref="J67:J82" si="15">H67*(-$M67)</f>
        <v>125145.12907394177</v>
      </c>
      <c r="K67" s="21">
        <f t="shared" ref="K67:K82" si="16">I67*(-$M67)</f>
        <v>10990.082156635115</v>
      </c>
      <c r="L67" s="5" t="s">
        <v>24</v>
      </c>
      <c r="M67" s="1">
        <v>-6174.03</v>
      </c>
      <c r="N67" s="4">
        <v>1.23</v>
      </c>
      <c r="O67" s="4"/>
      <c r="R67" s="15"/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11.303479824589076</v>
      </c>
      <c r="I68" s="21">
        <f>F68*$V$15</f>
        <v>1.3682051929204657</v>
      </c>
      <c r="J68" s="21">
        <f t="shared" si="15"/>
        <v>71660.33193955262</v>
      </c>
      <c r="K68" s="21">
        <f t="shared" si="16"/>
        <v>8673.969415402089</v>
      </c>
      <c r="L68" s="5" t="s">
        <v>24</v>
      </c>
      <c r="M68" s="1">
        <v>-6339.67</v>
      </c>
      <c r="N68" s="4">
        <v>1.27</v>
      </c>
      <c r="O68" s="4"/>
      <c r="P68" s="15"/>
      <c r="Q68" t="s">
        <v>7458</v>
      </c>
      <c r="R68" s="15" t="s">
        <v>7459</v>
      </c>
      <c r="S68" t="s">
        <v>7460</v>
      </c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30.142412013139374</v>
      </c>
      <c r="I69" s="21">
        <f>F69*$V$19</f>
        <v>3.4711590802440173</v>
      </c>
      <c r="J69" s="21">
        <f t="shared" si="15"/>
        <v>193426.26928127641</v>
      </c>
      <c r="K69" s="21">
        <f t="shared" si="16"/>
        <v>22274.705510652278</v>
      </c>
      <c r="L69" s="5" t="s">
        <v>24</v>
      </c>
      <c r="M69" s="4">
        <v>-6417.08</v>
      </c>
      <c r="N69" s="4">
        <v>1.28</v>
      </c>
      <c r="O69" s="4"/>
      <c r="P69" s="3" t="s">
        <v>215</v>
      </c>
      <c r="Q69" s="98">
        <v>3765.16</v>
      </c>
      <c r="R69" s="102">
        <f>Q69*X13/S13</f>
        <v>3878.1657985811485</v>
      </c>
      <c r="S69" s="60">
        <f>R69/Q69-1</f>
        <v>3.0013544864268438E-2</v>
      </c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98" t="s">
        <v>7461</v>
      </c>
      <c r="Q70" s="98">
        <v>2568.0500000000002</v>
      </c>
      <c r="R70" s="102"/>
      <c r="S70" s="60"/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10.282145110410095</v>
      </c>
      <c r="I71" s="21">
        <f>F71*$V$13</f>
        <v>1.1958359621451105</v>
      </c>
      <c r="J71" s="21">
        <f t="shared" si="15"/>
        <v>65805.728706624606</v>
      </c>
      <c r="K71" s="21">
        <f t="shared" si="16"/>
        <v>7653.350157728707</v>
      </c>
      <c r="L71" s="7" t="s">
        <v>10</v>
      </c>
      <c r="M71" s="4">
        <v>-6400</v>
      </c>
      <c r="N71" s="4">
        <v>9.59</v>
      </c>
      <c r="O71" s="4"/>
      <c r="P71" s="3" t="s">
        <v>7455</v>
      </c>
      <c r="Q71" s="98">
        <v>2415.65</v>
      </c>
      <c r="R71" s="102">
        <f>Q71*X14/S14</f>
        <v>2339.1805600649354</v>
      </c>
      <c r="S71" s="60">
        <f t="shared" ref="S71:S82" si="17">R71/Q71-1</f>
        <v>-3.1655844155843993E-2</v>
      </c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3" t="s">
        <v>216</v>
      </c>
      <c r="Q72" s="98">
        <v>3110.26</v>
      </c>
      <c r="R72" s="102">
        <f>Q72*X15/S15</f>
        <v>3340.9125603470065</v>
      </c>
      <c r="S72" s="60">
        <f t="shared" si="17"/>
        <v>7.4158610645735923E-2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22.213840985442328</v>
      </c>
      <c r="I73" s="21">
        <f>E73*$V$21</f>
        <v>2.7250765210899588</v>
      </c>
      <c r="J73" s="21">
        <f t="shared" si="15"/>
        <v>142168.58230683091</v>
      </c>
      <c r="K73" s="21">
        <f t="shared" si="16"/>
        <v>17440.489734975738</v>
      </c>
      <c r="L73" s="7" t="s">
        <v>10</v>
      </c>
      <c r="M73" s="4">
        <v>-6400</v>
      </c>
      <c r="N73" s="4">
        <v>7.67</v>
      </c>
      <c r="O73" s="4"/>
      <c r="P73" s="3" t="s">
        <v>217</v>
      </c>
      <c r="Q73" s="98">
        <v>4204.54</v>
      </c>
      <c r="R73" s="102">
        <f>Q73*X16/S16</f>
        <v>5390.2689345211284</v>
      </c>
      <c r="S73" s="103">
        <f t="shared" si="17"/>
        <v>0.28201157190111847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29.849932675044883</v>
      </c>
      <c r="I74" s="21">
        <f>F74*$V$20</f>
        <v>3.4374775583482942</v>
      </c>
      <c r="J74" s="21">
        <f t="shared" si="15"/>
        <v>191039.56912028725</v>
      </c>
      <c r="K74" s="21">
        <f t="shared" si="16"/>
        <v>21999.856373429084</v>
      </c>
      <c r="L74" s="7" t="s">
        <v>10</v>
      </c>
      <c r="M74" s="4">
        <v>-6400</v>
      </c>
      <c r="N74" s="4">
        <v>7.67</v>
      </c>
      <c r="O74" s="4"/>
      <c r="P74" s="3" t="s">
        <v>218</v>
      </c>
      <c r="Q74" s="98">
        <v>4336.6499999999996</v>
      </c>
      <c r="R74" s="102">
        <f>Q74*X17/S17</f>
        <v>6124.7008243828122</v>
      </c>
      <c r="S74" s="103">
        <f t="shared" si="17"/>
        <v>0.41231153641239504</v>
      </c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24.740615901455769</v>
      </c>
      <c r="I75" s="21">
        <f>E75*$V$21</f>
        <v>2.7226477541371161</v>
      </c>
      <c r="J75" s="21">
        <f t="shared" si="15"/>
        <v>158339.94176931691</v>
      </c>
      <c r="K75" s="21">
        <f t="shared" si="16"/>
        <v>17424.945626477544</v>
      </c>
      <c r="L75" s="7" t="s">
        <v>10</v>
      </c>
      <c r="M75" s="4">
        <v>-6400</v>
      </c>
      <c r="N75" s="4">
        <v>7.67</v>
      </c>
      <c r="O75" s="4"/>
      <c r="P75" s="98" t="s">
        <v>223</v>
      </c>
      <c r="Q75" s="98">
        <v>5120.6400000000003</v>
      </c>
      <c r="R75" s="102">
        <f>Q75*X37/S37</f>
        <v>5082.949820725843</v>
      </c>
      <c r="S75" s="103">
        <f t="shared" ref="S75:S80" si="18">R75/Q75-1</f>
        <v>-7.3604430840983337E-3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23.759399906235345</v>
      </c>
      <c r="I76" s="21">
        <f>F76*$V$25</f>
        <v>2.7111111111111112</v>
      </c>
      <c r="J76" s="21">
        <f t="shared" si="15"/>
        <v>151339.53680075009</v>
      </c>
      <c r="K76" s="21">
        <f t="shared" si="16"/>
        <v>17268.883111111114</v>
      </c>
      <c r="L76" s="5" t="s">
        <v>24</v>
      </c>
      <c r="M76" s="1">
        <v>-6369.67</v>
      </c>
      <c r="N76" s="4">
        <v>1.27</v>
      </c>
      <c r="O76" s="4"/>
      <c r="P76" s="3" t="s">
        <v>7456</v>
      </c>
      <c r="Q76" s="98">
        <v>577.76</v>
      </c>
      <c r="R76" s="102">
        <f>Q76*X22/S22</f>
        <v>606.59516387520341</v>
      </c>
      <c r="S76" s="103">
        <f t="shared" si="18"/>
        <v>4.9908550047084388E-2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20.289303893552422</v>
      </c>
      <c r="I77" s="21">
        <f t="shared" ref="I77:I79" si="19">F77*$V$16</f>
        <v>1.7817802286122526</v>
      </c>
      <c r="J77" s="21">
        <f t="shared" si="15"/>
        <v>125388.70963430971</v>
      </c>
      <c r="K77" s="21">
        <f t="shared" si="16"/>
        <v>11011.473084032865</v>
      </c>
      <c r="L77" s="5" t="s">
        <v>24</v>
      </c>
      <c r="M77" s="1">
        <v>-6180.04</v>
      </c>
      <c r="N77" s="4">
        <v>1.24</v>
      </c>
      <c r="O77" s="4"/>
      <c r="P77" s="3" t="s">
        <v>222</v>
      </c>
      <c r="Q77" s="98">
        <v>1085.1400000000001</v>
      </c>
      <c r="R77" s="102">
        <f>Q77*X25/S25</f>
        <v>1491.7865892404325</v>
      </c>
      <c r="S77" s="103">
        <f t="shared" si="18"/>
        <v>0.37474112947677929</v>
      </c>
    </row>
    <row r="78" spans="1:19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20.222316485086623</v>
      </c>
      <c r="I78" s="21">
        <f t="shared" si="19"/>
        <v>1.7758974816931596</v>
      </c>
      <c r="J78" s="21">
        <f t="shared" si="15"/>
        <v>10380.115051794963</v>
      </c>
      <c r="K78" s="21">
        <f t="shared" si="16"/>
        <v>911.5681773530988</v>
      </c>
      <c r="L78" s="5" t="s">
        <v>24</v>
      </c>
      <c r="M78" s="1">
        <v>-513.29999999999995</v>
      </c>
      <c r="N78" s="4">
        <v>0.1</v>
      </c>
      <c r="O78" s="4"/>
      <c r="P78" s="3" t="s">
        <v>219</v>
      </c>
      <c r="Q78" s="98">
        <v>7744.46</v>
      </c>
      <c r="R78" s="102">
        <f>Q78*X19/S19</f>
        <v>8898.634411782843</v>
      </c>
      <c r="S78" s="103">
        <f t="shared" si="18"/>
        <v>0.14903226458434071</v>
      </c>
    </row>
    <row r="79" spans="1:19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19.981949901768171</v>
      </c>
      <c r="I79" s="21">
        <f t="shared" si="19"/>
        <v>1.7547888015717095</v>
      </c>
      <c r="J79" s="21">
        <f t="shared" si="15"/>
        <v>131753.38451129664</v>
      </c>
      <c r="K79" s="21">
        <f t="shared" si="16"/>
        <v>11570.410537819254</v>
      </c>
      <c r="L79" s="5" t="s">
        <v>24</v>
      </c>
      <c r="M79" s="1">
        <v>-6593.62</v>
      </c>
      <c r="N79" s="4">
        <v>1.32</v>
      </c>
      <c r="O79" s="4"/>
      <c r="P79" s="3" t="s">
        <v>220</v>
      </c>
      <c r="Q79" s="98">
        <v>6077.96</v>
      </c>
      <c r="R79" s="102">
        <f>Q79*X21/S21</f>
        <v>7166.5836166917206</v>
      </c>
      <c r="S79" s="103">
        <f t="shared" si="18"/>
        <v>0.17911003308539719</v>
      </c>
    </row>
    <row r="80" spans="1:19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11.374634823484872</v>
      </c>
      <c r="I80" s="21">
        <f>F80*$V$15</f>
        <v>1.3768179953938859</v>
      </c>
      <c r="J80" s="21">
        <f t="shared" si="15"/>
        <v>72565.392827207615</v>
      </c>
      <c r="K80" s="21">
        <f t="shared" si="16"/>
        <v>8783.5205470549263</v>
      </c>
      <c r="L80" s="5" t="s">
        <v>24</v>
      </c>
      <c r="M80" s="1">
        <v>-6379.58</v>
      </c>
      <c r="N80" s="4">
        <v>1.28</v>
      </c>
      <c r="O80" s="4"/>
      <c r="P80" s="3" t="s">
        <v>221</v>
      </c>
      <c r="Q80" s="98">
        <v>1030.23</v>
      </c>
      <c r="R80" s="102">
        <f>Q80*X23/S23</f>
        <v>1414.0838342425391</v>
      </c>
      <c r="S80" s="103">
        <f t="shared" si="18"/>
        <v>0.37259042567440193</v>
      </c>
    </row>
    <row r="81" spans="1:30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22.179561200923789</v>
      </c>
      <c r="I81" s="21">
        <f>F81*$V$17</f>
        <v>1.9815242494226328</v>
      </c>
      <c r="J81" s="21">
        <f t="shared" si="15"/>
        <v>70079.20695727483</v>
      </c>
      <c r="K81" s="21">
        <f t="shared" si="16"/>
        <v>6260.8834642032334</v>
      </c>
      <c r="L81" s="5" t="s">
        <v>24</v>
      </c>
      <c r="M81" s="1">
        <v>-3159.63</v>
      </c>
      <c r="N81" s="4">
        <v>0.63</v>
      </c>
      <c r="O81" s="4"/>
      <c r="P81" s="3"/>
      <c r="Q81" s="101">
        <v>1259.95</v>
      </c>
      <c r="R81" s="102"/>
      <c r="S81" s="103"/>
    </row>
    <row r="82" spans="1:30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19.603668065726023</v>
      </c>
      <c r="I82" s="21">
        <f>F82*$V$16</f>
        <v>1.7215685836756565</v>
      </c>
      <c r="J82" s="21">
        <f t="shared" si="15"/>
        <v>126812.01194688784</v>
      </c>
      <c r="K82" s="21">
        <f t="shared" si="16"/>
        <v>11136.46563839525</v>
      </c>
      <c r="L82" s="5" t="s">
        <v>24</v>
      </c>
      <c r="M82" s="1">
        <v>-6468.79</v>
      </c>
      <c r="N82" s="4">
        <v>1.29</v>
      </c>
      <c r="O82" s="4"/>
      <c r="P82" s="98" t="s">
        <v>7462</v>
      </c>
      <c r="Q82" s="98">
        <v>8122.75</v>
      </c>
      <c r="R82" s="102">
        <f>Q82*X18/S18</f>
        <v>9017.5102531937191</v>
      </c>
      <c r="S82" s="103">
        <f t="shared" si="17"/>
        <v>0.1101548432727486</v>
      </c>
    </row>
    <row r="83" spans="1:30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11.755667731629394</v>
      </c>
      <c r="I83" s="21">
        <f>F83*$V$31</f>
        <v>1.4229392971246007</v>
      </c>
      <c r="J83" s="21">
        <f>H83*(-$M83)</f>
        <v>75236.273482428121</v>
      </c>
      <c r="K83" s="21">
        <f t="shared" ref="K83:K86" si="20">I83*(-$M83)</f>
        <v>9106.8115015974436</v>
      </c>
      <c r="L83" s="7" t="s">
        <v>10</v>
      </c>
      <c r="M83" s="1">
        <v>-6400</v>
      </c>
      <c r="N83" s="4">
        <v>7.67</v>
      </c>
      <c r="O83" s="4"/>
      <c r="P83" s="3" t="s">
        <v>7457</v>
      </c>
      <c r="Q83" s="98">
        <v>24585.53</v>
      </c>
      <c r="R83" s="98"/>
      <c r="S83" s="98"/>
    </row>
    <row r="84" spans="1:30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3" t="s">
        <v>184</v>
      </c>
      <c r="Q84" s="98">
        <v>11287.39</v>
      </c>
      <c r="R84" s="102"/>
      <c r="S84" s="98"/>
    </row>
    <row r="85" spans="1:30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22.552889137737964</v>
      </c>
      <c r="I85" s="21">
        <f>E85*$V$21</f>
        <v>2.766669155157397</v>
      </c>
      <c r="J85" s="21">
        <f t="shared" si="21"/>
        <v>144338.49048152298</v>
      </c>
      <c r="K85" s="21">
        <f t="shared" si="20"/>
        <v>17706.682593007339</v>
      </c>
      <c r="L85" s="7" t="s">
        <v>10</v>
      </c>
      <c r="M85" s="4">
        <v>-6400</v>
      </c>
      <c r="N85" s="4">
        <v>7.67</v>
      </c>
      <c r="O85" s="4"/>
      <c r="Q85" s="98"/>
      <c r="R85" s="102"/>
      <c r="S85" s="98"/>
      <c r="AA85" s="97"/>
      <c r="AB85" s="97"/>
      <c r="AC85" s="97"/>
      <c r="AD85" s="97"/>
    </row>
    <row r="86" spans="1:30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8.2770310450371678</v>
      </c>
      <c r="I86" s="21">
        <f>F86*$V$37</f>
        <v>1.0981810231744644</v>
      </c>
      <c r="J86" s="21">
        <f t="shared" si="21"/>
        <v>52972.998688237873</v>
      </c>
      <c r="K86" s="21">
        <f t="shared" si="20"/>
        <v>7028.3585483165725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30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31.064572425828967</v>
      </c>
      <c r="I87" s="21">
        <f>F87*$V$18</f>
        <v>3.6168037895786584</v>
      </c>
      <c r="J87" s="21">
        <f t="shared" ref="J87:J91" si="22">H87*(-$M87)</f>
        <v>199061.78010471203</v>
      </c>
      <c r="K87" s="21">
        <f t="shared" ref="K87:K91" si="23">I87*(-$M87)</f>
        <v>23176.478683620044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30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18.240277281657438</v>
      </c>
      <c r="I88" s="21">
        <f t="shared" ref="I88" si="24">F88*$V$16</f>
        <v>1.6018373816752993</v>
      </c>
      <c r="J88" s="21">
        <f t="shared" si="22"/>
        <v>118231.65331197534</v>
      </c>
      <c r="K88" s="21">
        <f t="shared" si="23"/>
        <v>10382.949724281121</v>
      </c>
      <c r="L88" s="5" t="s">
        <v>24</v>
      </c>
      <c r="M88" s="1">
        <v>-6481.9</v>
      </c>
      <c r="N88" s="4">
        <v>1.3</v>
      </c>
      <c r="O88" s="4"/>
      <c r="P88" s="98"/>
      <c r="Q88" s="97"/>
      <c r="R88" s="97"/>
      <c r="T88" s="97"/>
      <c r="U88" s="97"/>
      <c r="V88" s="97"/>
      <c r="W88" s="97"/>
      <c r="X88" s="97"/>
      <c r="Y88" s="97"/>
      <c r="Z88" s="97"/>
    </row>
    <row r="89" spans="1:30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26.698788150807896</v>
      </c>
      <c r="I89" s="21">
        <f>F89*$V$20</f>
        <v>3.0745960502692995</v>
      </c>
      <c r="J89" s="21">
        <f t="shared" si="22"/>
        <v>170872.24416517053</v>
      </c>
      <c r="K89" s="21">
        <f t="shared" si="23"/>
        <v>19677.414721723515</v>
      </c>
      <c r="L89" s="7" t="s">
        <v>10</v>
      </c>
      <c r="M89" s="4">
        <v>-6400</v>
      </c>
      <c r="N89" s="4">
        <v>7.67</v>
      </c>
      <c r="O89" s="4"/>
      <c r="P89" s="98"/>
      <c r="Q89" s="97"/>
      <c r="R89" s="97"/>
      <c r="S89" s="97"/>
    </row>
    <row r="90" spans="1:30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18.727799736495392</v>
      </c>
      <c r="I90" s="21">
        <f>F90*$V$22</f>
        <v>1.0371541501976285</v>
      </c>
      <c r="J90" s="21">
        <f t="shared" si="22"/>
        <v>119557.89896179184</v>
      </c>
      <c r="K90" s="21">
        <f t="shared" si="23"/>
        <v>6621.1713517786557</v>
      </c>
      <c r="L90" s="5" t="s">
        <v>24</v>
      </c>
      <c r="M90" s="1">
        <v>-6383.98</v>
      </c>
      <c r="N90" s="4">
        <v>1.28</v>
      </c>
      <c r="O90" s="4"/>
      <c r="P90" s="98"/>
      <c r="Q90" s="97"/>
      <c r="R90" s="97"/>
    </row>
    <row r="91" spans="1:30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18.866702194357366</v>
      </c>
      <c r="I91" s="21">
        <f>F91*$V$24</f>
        <v>1.5149174503657261</v>
      </c>
      <c r="J91" s="21">
        <f t="shared" si="22"/>
        <v>120746.89404388714</v>
      </c>
      <c r="K91" s="21">
        <f t="shared" si="23"/>
        <v>9695.471682340647</v>
      </c>
      <c r="L91" s="7" t="s">
        <v>10</v>
      </c>
      <c r="M91" s="4">
        <v>-6400</v>
      </c>
      <c r="N91" s="4">
        <v>7.67</v>
      </c>
      <c r="P91" s="98"/>
      <c r="Q91" s="97"/>
      <c r="R91" s="97"/>
    </row>
    <row r="92" spans="1:30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26.549824955116698</v>
      </c>
      <c r="I92" s="21">
        <f>F92*$V$20</f>
        <v>3.0574416517055654</v>
      </c>
      <c r="J92" s="21">
        <f t="shared" ref="J92:J93" si="25">H92*(-$M92)</f>
        <v>169918.87971274686</v>
      </c>
      <c r="K92" s="21">
        <f t="shared" ref="K92:K94" si="26">I92*(-$M92)</f>
        <v>19567.626570915618</v>
      </c>
      <c r="L92" s="7" t="s">
        <v>10</v>
      </c>
      <c r="M92" s="4">
        <v>-6400</v>
      </c>
      <c r="N92" s="4">
        <v>7.67</v>
      </c>
      <c r="O92" s="4"/>
      <c r="P92" s="98"/>
      <c r="Q92" s="97"/>
      <c r="R92" s="97"/>
    </row>
    <row r="93" spans="1:30">
      <c r="A93" s="105">
        <v>43403</v>
      </c>
      <c r="B93" s="105" t="s">
        <v>4</v>
      </c>
      <c r="C93" s="105" t="s">
        <v>130</v>
      </c>
      <c r="D93" s="105" t="s">
        <v>11</v>
      </c>
      <c r="E93" s="106">
        <v>0.95799999999999996</v>
      </c>
      <c r="F93" s="106">
        <v>2.536</v>
      </c>
      <c r="G93" s="107">
        <v>6670.57</v>
      </c>
      <c r="H93" s="21">
        <f>F93*$T$13</f>
        <v>10.06</v>
      </c>
      <c r="I93" s="21">
        <f>F93*$V$13</f>
        <v>1.17</v>
      </c>
      <c r="J93" s="21">
        <f t="shared" si="25"/>
        <v>64384</v>
      </c>
      <c r="K93" s="21">
        <f t="shared" si="26"/>
        <v>7488</v>
      </c>
      <c r="L93" s="7" t="s">
        <v>10</v>
      </c>
      <c r="M93" s="4">
        <v>-6400</v>
      </c>
      <c r="N93" s="4">
        <v>9.59</v>
      </c>
      <c r="O93" s="4"/>
      <c r="P93" s="98"/>
      <c r="Q93" s="97"/>
      <c r="R93" s="97"/>
    </row>
    <row r="94" spans="1:30">
      <c r="A94" s="105">
        <v>43403</v>
      </c>
      <c r="B94" s="108" t="s">
        <v>214</v>
      </c>
      <c r="C94" s="108" t="s">
        <v>158</v>
      </c>
      <c r="D94" s="105" t="s">
        <v>11</v>
      </c>
      <c r="E94" s="106">
        <v>1.5649999999999999</v>
      </c>
      <c r="F94" s="106">
        <v>1.5649999999999999</v>
      </c>
      <c r="G94" s="107">
        <v>4084.56</v>
      </c>
      <c r="H94" s="21">
        <f>F94*$T$31</f>
        <v>10.74</v>
      </c>
      <c r="I94" s="21">
        <f>F94*$V$31</f>
        <v>1.3</v>
      </c>
      <c r="J94" s="21">
        <f>H94*(-$M94)</f>
        <v>68736</v>
      </c>
      <c r="K94" s="21">
        <f t="shared" si="26"/>
        <v>8320</v>
      </c>
      <c r="L94" s="7" t="s">
        <v>10</v>
      </c>
      <c r="M94" s="1">
        <v>-6400</v>
      </c>
      <c r="N94" s="4">
        <v>7.67</v>
      </c>
      <c r="O94" s="4"/>
      <c r="P94" s="98"/>
      <c r="Q94" s="97"/>
      <c r="R94" s="97"/>
      <c r="S94" s="15"/>
    </row>
    <row r="95" spans="1:30">
      <c r="A95" s="104">
        <v>43403</v>
      </c>
      <c r="B95" s="101" t="s">
        <v>7465</v>
      </c>
      <c r="C95" s="101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17.649999999999999</v>
      </c>
      <c r="I95" s="21">
        <f>F95*$V$29</f>
        <v>1.55</v>
      </c>
      <c r="J95" s="21">
        <f>H95*(-$M95)</f>
        <v>112959.99999999999</v>
      </c>
      <c r="K95" s="21">
        <f t="shared" ref="K95:K100" si="27">I95*(-$M95)</f>
        <v>9920</v>
      </c>
      <c r="L95" s="7" t="s">
        <v>10</v>
      </c>
      <c r="M95" s="1">
        <v>-6400</v>
      </c>
      <c r="N95" s="4">
        <v>9.59</v>
      </c>
      <c r="O95" s="4"/>
      <c r="P95" s="98"/>
      <c r="Q95" s="15"/>
      <c r="R95" s="15"/>
      <c r="S95" s="15"/>
    </row>
    <row r="96" spans="1:30">
      <c r="A96" s="104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20.6</v>
      </c>
      <c r="I96" s="21">
        <f>F96*$V$34</f>
        <v>3.81</v>
      </c>
      <c r="J96" s="21">
        <f>H96*(-$M96)</f>
        <v>131840</v>
      </c>
      <c r="K96" s="21">
        <f t="shared" si="27"/>
        <v>24384</v>
      </c>
      <c r="L96" s="7" t="s">
        <v>10</v>
      </c>
      <c r="M96" s="1">
        <v>-6400</v>
      </c>
      <c r="N96" s="4">
        <v>9.59</v>
      </c>
      <c r="O96" s="4"/>
      <c r="P96" s="98"/>
      <c r="Q96" s="15"/>
      <c r="R96" s="15"/>
      <c r="S96" s="15"/>
    </row>
    <row r="97" spans="1:20">
      <c r="A97" s="104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</v>
      </c>
      <c r="I97" s="21">
        <f>F97*V35</f>
        <v>3.2599999999999993</v>
      </c>
      <c r="J97" s="21">
        <f t="shared" ref="J97" si="28">H97*(-M97)</f>
        <v>179200</v>
      </c>
      <c r="K97" s="21">
        <f t="shared" si="27"/>
        <v>20863.999999999996</v>
      </c>
      <c r="L97" s="7" t="s">
        <v>10</v>
      </c>
      <c r="M97" s="1">
        <v>-6400</v>
      </c>
      <c r="N97" s="4">
        <v>7.67</v>
      </c>
      <c r="O97" s="4"/>
      <c r="P97" s="98"/>
      <c r="Q97" s="15"/>
      <c r="R97" s="15"/>
      <c r="S97" s="15"/>
    </row>
    <row r="98" spans="1:20">
      <c r="A98" s="104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0" si="29">H98*(-$M98)</f>
        <v>0</v>
      </c>
      <c r="K98" s="21">
        <f t="shared" si="27"/>
        <v>0</v>
      </c>
      <c r="L98" s="7" t="s">
        <v>10</v>
      </c>
      <c r="M98" s="1">
        <v>-6400</v>
      </c>
      <c r="N98" s="4">
        <v>6.39</v>
      </c>
      <c r="O98" s="4"/>
      <c r="P98" s="98"/>
      <c r="Q98" s="15"/>
      <c r="R98" s="15"/>
      <c r="S98" s="15"/>
    </row>
    <row r="99" spans="1:20">
      <c r="A99" s="104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19.89</v>
      </c>
      <c r="I99" s="21">
        <f>E99*$V$21</f>
        <v>2.44</v>
      </c>
      <c r="J99" s="21">
        <f t="shared" si="29"/>
        <v>127296</v>
      </c>
      <c r="K99" s="21">
        <f t="shared" si="27"/>
        <v>15616</v>
      </c>
      <c r="L99" s="7" t="s">
        <v>10</v>
      </c>
      <c r="M99" s="4">
        <v>-6400</v>
      </c>
      <c r="N99" s="4">
        <v>7.67</v>
      </c>
      <c r="O99" s="4"/>
      <c r="P99" s="98"/>
      <c r="Q99" s="15"/>
      <c r="R99" s="15"/>
      <c r="S99" s="15"/>
    </row>
    <row r="100" spans="1:20">
      <c r="A100" s="104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29"/>
        <v>0</v>
      </c>
      <c r="K100" s="21">
        <f t="shared" si="27"/>
        <v>0</v>
      </c>
      <c r="L100" s="7" t="s">
        <v>10</v>
      </c>
      <c r="M100" s="13">
        <v>6852.82</v>
      </c>
      <c r="N100" s="4">
        <v>0</v>
      </c>
      <c r="O100" s="4"/>
      <c r="P100" s="98"/>
      <c r="Q100" s="15"/>
      <c r="R100" s="15"/>
      <c r="S100" s="15"/>
    </row>
    <row r="101" spans="1:20">
      <c r="A101" s="3"/>
      <c r="B101" s="71"/>
      <c r="C101" s="71"/>
      <c r="D101" s="3"/>
      <c r="E101" s="21"/>
      <c r="F101" s="21"/>
      <c r="G101" s="20"/>
      <c r="H101" s="21"/>
      <c r="I101" s="21"/>
      <c r="J101" s="21"/>
      <c r="K101" s="21"/>
      <c r="L101" s="5"/>
      <c r="M101" s="1"/>
      <c r="N101" s="4"/>
      <c r="Q101" s="15"/>
      <c r="R101" s="15"/>
      <c r="S101" s="15"/>
    </row>
    <row r="102" spans="1:20">
      <c r="A102" s="3"/>
      <c r="B102" s="71"/>
      <c r="C102" s="71"/>
      <c r="D102" s="3"/>
      <c r="E102" s="21"/>
      <c r="F102" s="21"/>
      <c r="G102" s="20"/>
      <c r="H102" s="21"/>
      <c r="I102" s="21"/>
      <c r="J102" s="21"/>
      <c r="K102" s="21"/>
      <c r="L102" s="5"/>
      <c r="M102" s="1"/>
      <c r="N102" s="4"/>
      <c r="O102" s="4"/>
      <c r="Q102" s="15"/>
      <c r="R102" s="15"/>
      <c r="S102" s="15"/>
    </row>
    <row r="103" spans="1:20">
      <c r="A103" s="3"/>
      <c r="B103" s="71"/>
      <c r="C103" s="71"/>
      <c r="D103" s="3"/>
      <c r="E103" s="21"/>
      <c r="F103" s="21"/>
      <c r="G103" s="20"/>
      <c r="H103" s="21"/>
      <c r="I103" s="21"/>
      <c r="J103" s="21">
        <f t="shared" ref="J103" si="30">H103*(-M103)</f>
        <v>0</v>
      </c>
      <c r="K103" s="21"/>
      <c r="L103" s="5"/>
      <c r="M103" s="1"/>
      <c r="N103" s="4"/>
      <c r="O103" s="4"/>
      <c r="Q103" s="15"/>
      <c r="R103" s="15"/>
      <c r="S103" s="15"/>
    </row>
    <row r="104" spans="1:20">
      <c r="A104" s="3"/>
      <c r="B104" s="71"/>
      <c r="C104" s="71"/>
      <c r="D104" s="3"/>
      <c r="E104" s="21"/>
      <c r="F104" s="21"/>
      <c r="G104" s="20"/>
      <c r="H104" s="21"/>
      <c r="I104" s="21"/>
      <c r="J104" s="21"/>
      <c r="K104" s="21"/>
      <c r="L104" s="5"/>
      <c r="M104" s="1"/>
      <c r="N104" s="4"/>
      <c r="O104" s="4"/>
      <c r="Q104" s="15"/>
      <c r="R104" s="15"/>
      <c r="S104" s="15"/>
    </row>
    <row r="105" spans="1:20">
      <c r="A105" s="3"/>
      <c r="B105" s="71"/>
      <c r="C105" s="71"/>
      <c r="D105" s="3"/>
      <c r="E105" s="21"/>
      <c r="F105" s="21"/>
      <c r="G105" s="20"/>
      <c r="H105" s="21"/>
      <c r="I105" s="21"/>
      <c r="J105" s="21">
        <f t="shared" ref="J105" si="31">H105*(-M105)</f>
        <v>0</v>
      </c>
      <c r="K105" s="21"/>
      <c r="L105" s="5"/>
      <c r="M105" s="1"/>
      <c r="N105" s="4"/>
      <c r="Q105" s="15"/>
      <c r="R105" s="15"/>
      <c r="S105" s="15"/>
    </row>
    <row r="106" spans="1:20">
      <c r="A106" s="3"/>
      <c r="B106" s="71"/>
      <c r="C106" s="71"/>
      <c r="D106" s="3"/>
      <c r="E106" s="21"/>
      <c r="F106" s="21"/>
      <c r="G106" s="20"/>
      <c r="H106" s="21"/>
      <c r="I106" s="21"/>
      <c r="J106" s="21">
        <f t="shared" ref="J106:J116" si="32">H106*(-M106)</f>
        <v>0</v>
      </c>
      <c r="K106" s="21"/>
      <c r="L106" s="5"/>
      <c r="M106" s="1"/>
      <c r="N106" s="4"/>
      <c r="O106" t="s">
        <v>27</v>
      </c>
      <c r="Q106" s="15"/>
      <c r="R106" s="15"/>
      <c r="S106" s="15"/>
    </row>
    <row r="107" spans="1:20">
      <c r="A107" s="3"/>
      <c r="B107" s="71"/>
      <c r="C107" s="71"/>
      <c r="D107" s="3"/>
      <c r="E107" s="21"/>
      <c r="F107" s="21"/>
      <c r="G107" s="20"/>
      <c r="H107" s="21"/>
      <c r="I107" s="21"/>
      <c r="J107" s="21"/>
      <c r="K107" s="21"/>
      <c r="L107" s="5"/>
      <c r="M107" s="1"/>
      <c r="N107" s="4"/>
      <c r="O107" t="s">
        <v>28</v>
      </c>
      <c r="Q107" s="15"/>
      <c r="R107" s="15"/>
      <c r="S107" s="15"/>
    </row>
    <row r="108" spans="1:20">
      <c r="A108" s="3"/>
      <c r="B108" s="71"/>
      <c r="C108" s="71"/>
      <c r="D108" s="3"/>
      <c r="E108" s="21"/>
      <c r="F108" s="21"/>
      <c r="G108" s="20"/>
      <c r="H108" s="21"/>
      <c r="I108" s="21"/>
      <c r="J108" s="21">
        <f t="shared" si="32"/>
        <v>0</v>
      </c>
      <c r="K108" s="21"/>
      <c r="L108" s="5"/>
      <c r="M108" s="1"/>
      <c r="N108" s="4"/>
      <c r="Q108" s="15"/>
      <c r="R108" s="15"/>
      <c r="S108" s="15"/>
    </row>
    <row r="109" spans="1:20">
      <c r="A109" s="3"/>
      <c r="B109" s="71"/>
      <c r="C109" s="71"/>
      <c r="D109" s="3"/>
      <c r="E109" s="21"/>
      <c r="F109" s="21"/>
      <c r="G109" s="20"/>
      <c r="H109" s="21"/>
      <c r="I109" s="21"/>
      <c r="J109" s="21">
        <f t="shared" si="32"/>
        <v>0</v>
      </c>
      <c r="K109" s="21"/>
      <c r="L109" s="5"/>
      <c r="M109" s="1"/>
      <c r="N109" s="4"/>
      <c r="Q109" s="15"/>
      <c r="R109" s="15"/>
      <c r="S109" s="15"/>
      <c r="T109" s="15"/>
    </row>
    <row r="110" spans="1:20">
      <c r="A110" s="3">
        <v>43404</v>
      </c>
      <c r="D110" s="3"/>
      <c r="E110" s="3"/>
      <c r="F110" s="3"/>
      <c r="G110" s="3"/>
      <c r="H110" s="3"/>
      <c r="I110" s="3"/>
      <c r="J110" s="21">
        <f t="shared" si="32"/>
        <v>0</v>
      </c>
      <c r="K110" s="21"/>
      <c r="L110" s="8" t="s">
        <v>200</v>
      </c>
      <c r="M110" s="1">
        <f>SUM(S4:S6)</f>
        <v>535676.16000000003</v>
      </c>
      <c r="N110" s="1"/>
      <c r="P110" s="15"/>
      <c r="Q110" s="15"/>
      <c r="R110" s="15"/>
      <c r="S110" s="15"/>
      <c r="T110" s="15"/>
    </row>
    <row r="111" spans="1:20">
      <c r="A111" s="3"/>
      <c r="B111" s="2"/>
      <c r="C111" s="2"/>
      <c r="D111" s="3"/>
      <c r="E111" s="3"/>
      <c r="F111" s="3"/>
      <c r="G111" s="3"/>
      <c r="H111" s="3"/>
      <c r="I111" s="3"/>
      <c r="J111" s="21">
        <f t="shared" si="32"/>
        <v>0</v>
      </c>
      <c r="K111" s="21"/>
      <c r="M111" s="1"/>
      <c r="N111" s="4"/>
      <c r="P111" s="15"/>
      <c r="Q111" s="15"/>
      <c r="R111" s="15"/>
      <c r="S111" s="15"/>
      <c r="T111" s="15"/>
    </row>
    <row r="112" spans="1:20">
      <c r="A112" s="3"/>
      <c r="B112" s="2"/>
      <c r="C112" s="2"/>
      <c r="D112" s="3"/>
      <c r="E112" s="3"/>
      <c r="F112" s="3"/>
      <c r="G112" s="3"/>
      <c r="H112" s="3"/>
      <c r="I112" s="3"/>
      <c r="J112" s="21">
        <f t="shared" si="32"/>
        <v>0</v>
      </c>
      <c r="K112" s="21"/>
      <c r="M112" s="1"/>
      <c r="N112" s="4"/>
      <c r="P112" s="15"/>
      <c r="Q112" s="15"/>
      <c r="R112" s="15"/>
      <c r="S112" s="15"/>
      <c r="T112" s="15"/>
    </row>
    <row r="113" spans="1:20">
      <c r="A113" s="3"/>
      <c r="B113" s="2"/>
      <c r="C113" s="2"/>
      <c r="D113" s="3"/>
      <c r="E113" s="3"/>
      <c r="F113" s="3"/>
      <c r="G113" s="3"/>
      <c r="H113" s="3"/>
      <c r="I113" s="3"/>
      <c r="J113" s="21">
        <f t="shared" si="32"/>
        <v>0</v>
      </c>
      <c r="K113" s="21"/>
      <c r="M113" s="1"/>
      <c r="N113" s="4"/>
      <c r="P113" s="15"/>
      <c r="Q113" s="15"/>
      <c r="R113" s="15"/>
      <c r="S113" s="15"/>
      <c r="T113" s="15"/>
    </row>
    <row r="114" spans="1:20">
      <c r="A114" s="3"/>
      <c r="D114" s="3"/>
      <c r="E114" s="3"/>
      <c r="F114" s="3"/>
      <c r="G114" s="3"/>
      <c r="H114" s="3"/>
      <c r="I114" s="3"/>
      <c r="J114" s="21">
        <f t="shared" si="32"/>
        <v>0</v>
      </c>
      <c r="K114" s="21"/>
      <c r="L114" s="8" t="s">
        <v>26</v>
      </c>
      <c r="M114" s="12">
        <f>XIRR($M2:$M113,$A2:$A113)</f>
        <v>2.9802322387695314E-9</v>
      </c>
      <c r="N114" s="12"/>
      <c r="P114" s="15"/>
      <c r="Q114" s="15"/>
      <c r="R114" s="15"/>
      <c r="S114" s="15"/>
      <c r="T114" s="15"/>
    </row>
    <row r="115" spans="1:20">
      <c r="J115" s="21">
        <f t="shared" si="32"/>
        <v>0</v>
      </c>
      <c r="K115" s="21"/>
      <c r="L115" s="3">
        <v>43235</v>
      </c>
      <c r="M115" s="16">
        <v>0.15763732790946963</v>
      </c>
      <c r="P115" s="63"/>
      <c r="Q115" s="15"/>
      <c r="R115" s="15"/>
      <c r="S115" s="15"/>
      <c r="T115" s="15"/>
    </row>
    <row r="116" spans="1:20">
      <c r="J116" s="21">
        <f t="shared" si="32"/>
        <v>0</v>
      </c>
      <c r="K116" s="21"/>
      <c r="L116" s="3">
        <v>43259</v>
      </c>
      <c r="M116" s="16">
        <v>4.7603145241737366E-2</v>
      </c>
      <c r="P116" s="63"/>
      <c r="R116" s="15"/>
      <c r="S116" s="15"/>
      <c r="T116" s="15"/>
    </row>
    <row r="117" spans="1:20">
      <c r="P117" s="63"/>
      <c r="R117" s="15"/>
      <c r="S117" s="15"/>
    </row>
    <row r="118" spans="1:20">
      <c r="P118" s="63"/>
      <c r="R118" s="15"/>
      <c r="S118" s="15"/>
    </row>
    <row r="119" spans="1:20">
      <c r="P119" s="63"/>
      <c r="R119" s="15"/>
      <c r="S119" s="15"/>
    </row>
    <row r="120" spans="1:20">
      <c r="P120" s="63"/>
      <c r="R120" s="15"/>
      <c r="S120" s="15"/>
    </row>
    <row r="121" spans="1:20">
      <c r="P121" s="63"/>
      <c r="R121" s="15"/>
      <c r="S121" s="15"/>
    </row>
    <row r="122" spans="1:20">
      <c r="P122" s="63"/>
      <c r="R122" s="15"/>
    </row>
    <row r="123" spans="1:20">
      <c r="P123" s="63"/>
    </row>
    <row r="124" spans="1:20">
      <c r="P124" s="63"/>
    </row>
    <row r="125" spans="1:20">
      <c r="P125" s="63"/>
    </row>
    <row r="126" spans="1:20">
      <c r="P126" s="63"/>
    </row>
    <row r="127" spans="1:20">
      <c r="P127" s="63"/>
    </row>
    <row r="128" spans="1:20">
      <c r="P128" s="63"/>
    </row>
    <row r="129" spans="14:16">
      <c r="P129" s="63"/>
    </row>
    <row r="130" spans="14:16">
      <c r="P130" s="63"/>
    </row>
    <row r="131" spans="14:16">
      <c r="P131" s="63"/>
    </row>
    <row r="132" spans="14:16">
      <c r="P132" s="63"/>
    </row>
    <row r="133" spans="14:16">
      <c r="P133" s="63"/>
    </row>
    <row r="134" spans="14:16">
      <c r="N134">
        <f>SUMIF(C:C,"=医药",J:J)/SUMIF(C:C,"=医药",M:M)*-1</f>
        <v>29.334793714838217</v>
      </c>
      <c r="P134" s="63"/>
    </row>
    <row r="135" spans="14:16">
      <c r="P135" s="63"/>
    </row>
    <row r="136" spans="14:16">
      <c r="P136" s="63"/>
    </row>
    <row r="137" spans="14:16">
      <c r="P137" s="63"/>
    </row>
    <row r="138" spans="14:16">
      <c r="P138" s="63"/>
    </row>
    <row r="139" spans="14:16">
      <c r="P139" s="63"/>
    </row>
    <row r="140" spans="14:16">
      <c r="P140" s="63"/>
    </row>
    <row r="141" spans="14:16">
      <c r="P141" s="63"/>
    </row>
    <row r="142" spans="14:16">
      <c r="P142" s="63"/>
    </row>
    <row r="149" spans="18:18">
      <c r="R149" s="15"/>
    </row>
    <row r="150" spans="18:18">
      <c r="R150" s="15"/>
    </row>
    <row r="151" spans="18:18">
      <c r="R151" s="15"/>
    </row>
    <row r="152" spans="18:18">
      <c r="R152" s="15"/>
    </row>
    <row r="153" spans="18:18">
      <c r="R153" s="15"/>
    </row>
    <row r="154" spans="18:18">
      <c r="R154" s="15"/>
    </row>
    <row r="155" spans="18:18">
      <c r="R155" s="15"/>
    </row>
    <row r="156" spans="18:18">
      <c r="R156" s="15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57" priority="74" operator="greaterThan">
      <formula>3</formula>
    </cfRule>
  </conditionalFormatting>
  <conditionalFormatting sqref="N43:N47 N110:N112">
    <cfRule type="cellIs" dxfId="56" priority="73" operator="greaterThan">
      <formula>3</formula>
    </cfRule>
  </conditionalFormatting>
  <conditionalFormatting sqref="N48">
    <cfRule type="cellIs" dxfId="55" priority="71" operator="greaterThan">
      <formula>3</formula>
    </cfRule>
  </conditionalFormatting>
  <conditionalFormatting sqref="N49">
    <cfRule type="cellIs" dxfId="54" priority="70" operator="greaterThan">
      <formula>3</formula>
    </cfRule>
  </conditionalFormatting>
  <conditionalFormatting sqref="N50">
    <cfRule type="cellIs" dxfId="53" priority="69" operator="greaterThan">
      <formula>3</formula>
    </cfRule>
  </conditionalFormatting>
  <conditionalFormatting sqref="N52">
    <cfRule type="cellIs" dxfId="52" priority="68" operator="greaterThan">
      <formula>3</formula>
    </cfRule>
  </conditionalFormatting>
  <conditionalFormatting sqref="N53">
    <cfRule type="cellIs" dxfId="51" priority="67" operator="greaterThan">
      <formula>3</formula>
    </cfRule>
  </conditionalFormatting>
  <conditionalFormatting sqref="N54 N60 N77">
    <cfRule type="cellIs" dxfId="50" priority="66" operator="greaterThan">
      <formula>3</formula>
    </cfRule>
  </conditionalFormatting>
  <conditionalFormatting sqref="N51">
    <cfRule type="cellIs" dxfId="49" priority="65" operator="greaterThan">
      <formula>3</formula>
    </cfRule>
  </conditionalFormatting>
  <conditionalFormatting sqref="N25">
    <cfRule type="cellIs" dxfId="48" priority="63" operator="greaterThan">
      <formula>3</formula>
    </cfRule>
  </conditionalFormatting>
  <conditionalFormatting sqref="N55">
    <cfRule type="cellIs" dxfId="47" priority="61" operator="greaterThan">
      <formula>3</formula>
    </cfRule>
  </conditionalFormatting>
  <conditionalFormatting sqref="N56">
    <cfRule type="cellIs" dxfId="46" priority="60" operator="greaterThan">
      <formula>3</formula>
    </cfRule>
  </conditionalFormatting>
  <conditionalFormatting sqref="N57">
    <cfRule type="cellIs" dxfId="45" priority="58" operator="greaterThan">
      <formula>3</formula>
    </cfRule>
  </conditionalFormatting>
  <conditionalFormatting sqref="N58">
    <cfRule type="cellIs" dxfId="44" priority="57" operator="greaterThan">
      <formula>3</formula>
    </cfRule>
  </conditionalFormatting>
  <conditionalFormatting sqref="N59">
    <cfRule type="cellIs" dxfId="43" priority="56" operator="greaterThan">
      <formula>3</formula>
    </cfRule>
  </conditionalFormatting>
  <conditionalFormatting sqref="N70">
    <cfRule type="cellIs" dxfId="42" priority="55" operator="greaterThan">
      <formula>3</formula>
    </cfRule>
  </conditionalFormatting>
  <conditionalFormatting sqref="N61">
    <cfRule type="cellIs" dxfId="41" priority="53" operator="greaterThan">
      <formula>3</formula>
    </cfRule>
  </conditionalFormatting>
  <conditionalFormatting sqref="N62:N63 N69">
    <cfRule type="cellIs" dxfId="40" priority="52" operator="greaterThan">
      <formula>3</formula>
    </cfRule>
  </conditionalFormatting>
  <conditionalFormatting sqref="N66">
    <cfRule type="cellIs" dxfId="39" priority="48" operator="greaterThan">
      <formula>3</formula>
    </cfRule>
  </conditionalFormatting>
  <conditionalFormatting sqref="N65">
    <cfRule type="cellIs" dxfId="38" priority="49" operator="greaterThan">
      <formula>3</formula>
    </cfRule>
  </conditionalFormatting>
  <conditionalFormatting sqref="N64">
    <cfRule type="cellIs" dxfId="37" priority="50" operator="greaterThan">
      <formula>3</formula>
    </cfRule>
  </conditionalFormatting>
  <conditionalFormatting sqref="N68">
    <cfRule type="cellIs" dxfId="36" priority="46" operator="greaterThan">
      <formula>3</formula>
    </cfRule>
  </conditionalFormatting>
  <conditionalFormatting sqref="N67">
    <cfRule type="cellIs" dxfId="35" priority="47" operator="greaterThan">
      <formula>3</formula>
    </cfRule>
  </conditionalFormatting>
  <conditionalFormatting sqref="N17:N18">
    <cfRule type="cellIs" dxfId="34" priority="45" operator="greaterThan">
      <formula>3</formula>
    </cfRule>
  </conditionalFormatting>
  <conditionalFormatting sqref="N76">
    <cfRule type="cellIs" dxfId="33" priority="44" operator="greaterThan">
      <formula>3</formula>
    </cfRule>
  </conditionalFormatting>
  <conditionalFormatting sqref="N71">
    <cfRule type="cellIs" dxfId="32" priority="43" operator="greaterThan">
      <formula>3</formula>
    </cfRule>
  </conditionalFormatting>
  <conditionalFormatting sqref="N73">
    <cfRule type="cellIs" dxfId="31" priority="42" operator="greaterThan">
      <formula>3</formula>
    </cfRule>
  </conditionalFormatting>
  <conditionalFormatting sqref="N75">
    <cfRule type="cellIs" dxfId="30" priority="41" operator="greaterThan">
      <formula>3</formula>
    </cfRule>
  </conditionalFormatting>
  <conditionalFormatting sqref="N72">
    <cfRule type="cellIs" dxfId="29" priority="38" operator="greaterThan">
      <formula>3</formula>
    </cfRule>
  </conditionalFormatting>
  <conditionalFormatting sqref="N78">
    <cfRule type="cellIs" dxfId="28" priority="37" operator="greaterThan">
      <formula>3</formula>
    </cfRule>
  </conditionalFormatting>
  <conditionalFormatting sqref="N79">
    <cfRule type="cellIs" dxfId="27" priority="36" operator="greaterThan">
      <formula>3</formula>
    </cfRule>
  </conditionalFormatting>
  <conditionalFormatting sqref="N80">
    <cfRule type="cellIs" dxfId="26" priority="35" operator="greaterThan">
      <formula>3</formula>
    </cfRule>
  </conditionalFormatting>
  <conditionalFormatting sqref="N81">
    <cfRule type="cellIs" dxfId="25" priority="34" operator="greaterThan">
      <formula>3</formula>
    </cfRule>
  </conditionalFormatting>
  <conditionalFormatting sqref="N101:N109">
    <cfRule type="cellIs" dxfId="24" priority="29" operator="greaterThan">
      <formula>3</formula>
    </cfRule>
  </conditionalFormatting>
  <conditionalFormatting sqref="N82">
    <cfRule type="cellIs" dxfId="23" priority="28" operator="greaterThan">
      <formula>3</formula>
    </cfRule>
  </conditionalFormatting>
  <conditionalFormatting sqref="N83">
    <cfRule type="cellIs" dxfId="22" priority="27" operator="greaterThan">
      <formula>3</formula>
    </cfRule>
  </conditionalFormatting>
  <conditionalFormatting sqref="N84">
    <cfRule type="cellIs" dxfId="21" priority="26" operator="greaterThan">
      <formula>3</formula>
    </cfRule>
  </conditionalFormatting>
  <conditionalFormatting sqref="N85">
    <cfRule type="cellIs" dxfId="20" priority="25" operator="greaterThan">
      <formula>3</formula>
    </cfRule>
  </conditionalFormatting>
  <conditionalFormatting sqref="N86">
    <cfRule type="cellIs" dxfId="19" priority="23" operator="greaterThan">
      <formula>3</formula>
    </cfRule>
  </conditionalFormatting>
  <conditionalFormatting sqref="N87">
    <cfRule type="cellIs" dxfId="18" priority="22" operator="greaterThan">
      <formula>3</formula>
    </cfRule>
  </conditionalFormatting>
  <conditionalFormatting sqref="N74">
    <cfRule type="cellIs" dxfId="17" priority="19" operator="greaterThan">
      <formula>3</formula>
    </cfRule>
  </conditionalFormatting>
  <conditionalFormatting sqref="N89">
    <cfRule type="cellIs" dxfId="16" priority="18" operator="greaterThan">
      <formula>3</formula>
    </cfRule>
  </conditionalFormatting>
  <conditionalFormatting sqref="N88">
    <cfRule type="cellIs" dxfId="15" priority="17" operator="greaterThan">
      <formula>3</formula>
    </cfRule>
  </conditionalFormatting>
  <conditionalFormatting sqref="N90">
    <cfRule type="cellIs" dxfId="14" priority="16" operator="greaterThan">
      <formula>3</formula>
    </cfRule>
  </conditionalFormatting>
  <conditionalFormatting sqref="N92">
    <cfRule type="cellIs" dxfId="13" priority="13" operator="greaterThan">
      <formula>3</formula>
    </cfRule>
  </conditionalFormatting>
  <conditionalFormatting sqref="N91">
    <cfRule type="cellIs" dxfId="12" priority="14" operator="greaterThan">
      <formula>3</formula>
    </cfRule>
  </conditionalFormatting>
  <conditionalFormatting sqref="N93">
    <cfRule type="cellIs" dxfId="11" priority="11" operator="greaterThan">
      <formula>3</formula>
    </cfRule>
  </conditionalFormatting>
  <conditionalFormatting sqref="N94">
    <cfRule type="cellIs" dxfId="10" priority="10" operator="greaterThan">
      <formula>3</formula>
    </cfRule>
  </conditionalFormatting>
  <conditionalFormatting sqref="N95">
    <cfRule type="cellIs" dxfId="8" priority="8" operator="greaterThan">
      <formula>3</formula>
    </cfRule>
  </conditionalFormatting>
  <conditionalFormatting sqref="N96">
    <cfRule type="cellIs" dxfId="7" priority="7" operator="greaterThan">
      <formula>3</formula>
    </cfRule>
  </conditionalFormatting>
  <conditionalFormatting sqref="N97">
    <cfRule type="cellIs" dxfId="6" priority="6" operator="greaterThan">
      <formula>3</formula>
    </cfRule>
  </conditionalFormatting>
  <conditionalFormatting sqref="N98">
    <cfRule type="cellIs" dxfId="5" priority="5" operator="greaterThan">
      <formula>3</formula>
    </cfRule>
  </conditionalFormatting>
  <conditionalFormatting sqref="N99">
    <cfRule type="cellIs" dxfId="4" priority="4" operator="greaterThan">
      <formula>3</formula>
    </cfRule>
  </conditionalFormatting>
  <conditionalFormatting sqref="N100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89" sqref="I89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 ht="15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3.966876971608833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ht="15">
      <c r="D5" s="31">
        <f>E3*D3</f>
        <v>10.412390904311252</v>
      </c>
      <c r="R5" s="47"/>
    </row>
    <row r="6" spans="2:19" s="29" customFormat="1" ht="15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ht="15">
      <c r="C8" s="36" t="s">
        <v>92</v>
      </c>
      <c r="D8" s="37">
        <f>已投部分年化收益率!T27</f>
        <v>10.872243439694468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ht="15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ht="15">
      <c r="D11" s="37">
        <f>已投部分年化收益率!T28</f>
        <v>37.875536480686691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ht="15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ht="15">
      <c r="C14" s="39"/>
      <c r="D14" s="37">
        <f>已投部分年化收益率!T29</f>
        <v>10.788508557457213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ht="15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ht="15">
      <c r="C17" s="39"/>
      <c r="D17" s="37">
        <f>已投部分年化收益率!T30</f>
        <v>23.745459437642943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ht="15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ht="15">
      <c r="C20" s="42"/>
      <c r="D20" s="43">
        <f>(E8*D8*SUM(F9:Z9)+E11*D11*SUM(F12:AA12)+E14*D14*SUM(F15:AA15)+E17*D17*SUM(F18:Z18))/(SUM(F9:Z9)+SUM(F12:AA12)+SUM(F15:AA15)+SUM(F18:Z18))</f>
        <v>23.106288482497465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ht="15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11.447368421052632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ht="15">
      <c r="D25" s="31">
        <f>E23*D23</f>
        <v>8.2970526315789481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38.195691202872531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ht="15">
      <c r="D30" s="31">
        <f>E28*D28</f>
        <v>29.796458707360863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24.748040313549833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 ht="15">
      <c r="D35" s="31">
        <f>E33*D33</f>
        <v>23.258208286674133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39.561128526645767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ht="15">
      <c r="D40" s="31">
        <f>D38*E38</f>
        <v>26.767059561128526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已投部分年化收益率!T39</f>
        <v>6.7964759013844667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6.901141630265788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6.86261980830671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10.336862367661213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11.264591754965741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32.407551880168512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28.473275081916057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已投部分年化收益率!V37</f>
        <v>1.180585920419764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1.0781110625273285</v>
      </c>
    </row>
    <row r="65" spans="2:11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9" t="s">
        <v>41</v>
      </c>
      <c r="C66" s="36" t="s">
        <v>7472</v>
      </c>
      <c r="D66" s="48">
        <f>已投部分年化收益率!T35</f>
        <v>20.986358866736619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38.24091778202677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33.240973959660451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workbookViewId="0">
      <selection activeCell="G38" sqref="G38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6.6900000000000001E-2</v>
      </c>
      <c r="D3" s="18">
        <f>12*0.0067</f>
        <v>8.0399999999999999E-2</v>
      </c>
      <c r="E3" s="54">
        <f>(D3-C3)/0.0081</f>
        <v>1.6666666666666665</v>
      </c>
      <c r="F3" t="s">
        <v>75</v>
      </c>
      <c r="G3" s="19">
        <f>C27+C17+C18+C19+C20</f>
        <v>0.22278688749999975</v>
      </c>
      <c r="H3" s="19">
        <f>D27+D17+D18+D19+D20</f>
        <v>0.23450000000000001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0.75476685000000021</v>
      </c>
      <c r="H4" s="19">
        <f>1-H3-H5</f>
        <v>0.75209999999999999</v>
      </c>
    </row>
    <row r="5" spans="1:18">
      <c r="A5" s="25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2.2446262500000001E-2</v>
      </c>
      <c r="H5" s="19">
        <f>SUM(D24:D26)</f>
        <v>1.34E-2</v>
      </c>
      <c r="M5" s="3"/>
    </row>
    <row r="6" spans="1:18" ht="15">
      <c r="A6" s="25"/>
      <c r="B6" s="2" t="s">
        <v>18</v>
      </c>
      <c r="C6" s="28">
        <f>已投部分年化收益率!Z16</f>
        <v>0.2271108875</v>
      </c>
      <c r="D6" s="18">
        <f>(11+8+2+3)*0.0067</f>
        <v>0.1608</v>
      </c>
      <c r="E6" s="50"/>
      <c r="M6" s="3"/>
    </row>
    <row r="7" spans="1:18" ht="15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25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25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54">
        <f t="shared" si="0"/>
        <v>0.73133024691358106</v>
      </c>
      <c r="M10" s="3"/>
    </row>
    <row r="11" spans="1:18">
      <c r="A11" s="25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25"/>
      <c r="B12" s="25" t="s">
        <v>59</v>
      </c>
      <c r="C12" s="19">
        <f>已投部分年化收益率!Z37</f>
        <v>2.4E-2</v>
      </c>
      <c r="D12" s="18">
        <f>3*0.0067</f>
        <v>2.01E-2</v>
      </c>
      <c r="E12" s="50"/>
    </row>
    <row r="13" spans="1:18">
      <c r="A13" s="25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54">
        <f t="shared" si="0"/>
        <v>0.27777777777777801</v>
      </c>
      <c r="N13" s="4"/>
      <c r="O13" s="4"/>
      <c r="P13" s="4"/>
      <c r="Q13" s="13"/>
      <c r="R13" s="4"/>
    </row>
    <row r="14" spans="1:18">
      <c r="A14" s="25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25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25"/>
      <c r="B16" s="2" t="s">
        <v>35</v>
      </c>
      <c r="C16" s="19">
        <f>已投部分年化收益率!Z42</f>
        <v>3.2000000000000001E-2</v>
      </c>
      <c r="D16" s="18">
        <f>4*0.0067</f>
        <v>2.6800000000000001E-2</v>
      </c>
      <c r="E16" s="50"/>
    </row>
    <row r="17" spans="1:28">
      <c r="A17" s="25"/>
      <c r="B17" s="2" t="s">
        <v>33</v>
      </c>
      <c r="C17" s="19">
        <f>已投部分年化收益率!Z41</f>
        <v>1.4908837499999999E-2</v>
      </c>
      <c r="D17" s="18">
        <f>2*0.0067</f>
        <v>1.34E-2</v>
      </c>
      <c r="E17" s="50"/>
    </row>
    <row r="18" spans="1:28">
      <c r="A18" s="25"/>
      <c r="B18" s="2" t="s">
        <v>34</v>
      </c>
      <c r="C18" s="19">
        <f>已投部分年化收益率!Z40</f>
        <v>4.2190250000000004E-3</v>
      </c>
      <c r="D18" s="18">
        <f>3*0.0067</f>
        <v>2.01E-2</v>
      </c>
      <c r="E18" s="50"/>
    </row>
    <row r="19" spans="1:28">
      <c r="A19" s="25"/>
      <c r="B19" s="2" t="s">
        <v>69</v>
      </c>
      <c r="C19" s="19">
        <v>0</v>
      </c>
      <c r="D19" s="18">
        <f>2*0.0067</f>
        <v>1.34E-2</v>
      </c>
      <c r="E19" s="50"/>
    </row>
    <row r="20" spans="1:28">
      <c r="A20" s="25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25"/>
      <c r="B21" s="2" t="s">
        <v>36</v>
      </c>
      <c r="C21" s="19">
        <f>已投部分年化收益率!Z38</f>
        <v>1.225E-2</v>
      </c>
      <c r="D21" s="18">
        <v>1.34E-2</v>
      </c>
      <c r="E21" s="50"/>
      <c r="O21" s="4"/>
      <c r="P21" s="4"/>
      <c r="Q21" s="4"/>
      <c r="R21" s="4"/>
    </row>
    <row r="22" spans="1:28">
      <c r="A22" s="25"/>
      <c r="B22" s="68" t="s">
        <v>199</v>
      </c>
      <c r="C22" s="19">
        <v>0</v>
      </c>
      <c r="D22" s="18">
        <f>1*0.0067</f>
        <v>6.7000000000000002E-3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71</v>
      </c>
      <c r="C23" s="28">
        <f>已投部分年化收益率!Z39</f>
        <v>0</v>
      </c>
      <c r="D23" s="18">
        <f>8*0.0067</f>
        <v>5.3600000000000002E-2</v>
      </c>
      <c r="E23" s="50">
        <f t="shared" si="0"/>
        <v>6.6172839506172849</v>
      </c>
    </row>
    <row r="24" spans="1:28">
      <c r="B24" s="2" t="s">
        <v>39</v>
      </c>
      <c r="C24" s="19">
        <f>已投部分年化收益率!Z43</f>
        <v>8.0536124999999997E-3</v>
      </c>
      <c r="D24" s="18">
        <f>1*0.0067</f>
        <v>6.7000000000000002E-3</v>
      </c>
      <c r="E24" s="50"/>
    </row>
    <row r="25" spans="1:28">
      <c r="B25" s="2" t="s">
        <v>67</v>
      </c>
      <c r="C25" s="19">
        <f>已投部分年化收益率!Z44</f>
        <v>1.4392650000000002E-2</v>
      </c>
      <c r="D25" s="18">
        <v>0</v>
      </c>
      <c r="E25" s="50"/>
      <c r="K25" s="1"/>
      <c r="L25" s="4"/>
      <c r="M25" s="4"/>
    </row>
    <row r="26" spans="1:28">
      <c r="B26" s="2" t="s">
        <v>72</v>
      </c>
      <c r="C26" s="19">
        <v>0</v>
      </c>
      <c r="D26" s="18">
        <f>1*0.0067</f>
        <v>6.7000000000000002E-3</v>
      </c>
      <c r="E26" s="50"/>
    </row>
    <row r="27" spans="1:28">
      <c r="B27" s="25" t="s">
        <v>66</v>
      </c>
      <c r="C27" s="19">
        <f>已投部分年化收益率!Z45</f>
        <v>0.20365902499999977</v>
      </c>
      <c r="D27" s="18">
        <f>27*0.0067</f>
        <v>0.18090000000000001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6.6900000000000001E-2</v>
      </c>
      <c r="H28" s="1">
        <f>已投部分年化收益率!X13</f>
        <v>10.36193626133454</v>
      </c>
      <c r="I28" s="1">
        <f>ETF计划成本计算!D5</f>
        <v>10.412390904311252</v>
      </c>
      <c r="J28" s="18">
        <f>已投部分年化收益率!S13/H28-1</f>
        <v>-2.9138980757989374E-2</v>
      </c>
    </row>
    <row r="29" spans="1:28">
      <c r="F29" t="s">
        <v>84</v>
      </c>
      <c r="G29" s="19">
        <f>C5</f>
        <v>4.7856999999999997E-2</v>
      </c>
      <c r="H29" s="1">
        <f>已投部分年化收益率!X15</f>
        <v>11.536463478335202</v>
      </c>
      <c r="I29" s="1">
        <f>ETF计划成本计算!D53</f>
        <v>11.264591754965741</v>
      </c>
      <c r="J29" s="18">
        <f>已投部分年化收益率!S15/H29-1</f>
        <v>-6.9038789905668474E-2</v>
      </c>
    </row>
    <row r="30" spans="1:28">
      <c r="F30" t="s">
        <v>78</v>
      </c>
      <c r="G30" s="19">
        <f>C6</f>
        <v>0.2271108875</v>
      </c>
      <c r="H30" s="55">
        <f>已投部分年化收益率!X16</f>
        <v>22.627504244054737</v>
      </c>
      <c r="I30" s="4">
        <f>ETF计划成本计算!D20</f>
        <v>23.106288482497465</v>
      </c>
      <c r="J30" s="18">
        <f>已投部分年化收益率!S16/H30-1</f>
        <v>-0.21997583959629807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27.822537267324179</v>
      </c>
      <c r="I31" s="27" t="s">
        <v>115</v>
      </c>
      <c r="J31" s="18">
        <f>已投部分年化收益率!S17/H31-1</f>
        <v>-0.29194092505946934</v>
      </c>
    </row>
    <row r="32" spans="1:28">
      <c r="F32" t="s">
        <v>226</v>
      </c>
      <c r="G32" s="19">
        <f>C8</f>
        <v>2.4085612499999999E-2</v>
      </c>
      <c r="H32" s="1">
        <f>已投部分年化收益率!X18</f>
        <v>31.084335611636959</v>
      </c>
      <c r="I32" s="4">
        <f>ETF计划成本计算!D71</f>
        <v>33.240973959660451</v>
      </c>
      <c r="J32" s="18">
        <f>已投部分年化收益率!S18/H32-1</f>
        <v>-9.9224755843978385E-2</v>
      </c>
    </row>
    <row r="33" spans="6:10">
      <c r="F33" t="s">
        <v>80</v>
      </c>
      <c r="G33" s="19">
        <f>C10</f>
        <v>6.1076224999999998E-2</v>
      </c>
      <c r="H33" s="1">
        <f>已投部分年化收益率!X19</f>
        <v>29.334793714838217</v>
      </c>
      <c r="I33" s="1">
        <f>ETF计划成本计算!D30</f>
        <v>29.796458707360863</v>
      </c>
      <c r="J33" s="18">
        <f>已投部分年化收益率!S19/H33-1</f>
        <v>-0.12970241931217885</v>
      </c>
    </row>
    <row r="34" spans="6:10">
      <c r="F34" t="s">
        <v>81</v>
      </c>
      <c r="G34" s="19">
        <f>C13</f>
        <v>6.4750000000000002E-2</v>
      </c>
      <c r="H34" s="1">
        <f>已投部分年化收益率!X21</f>
        <v>23.452498558068552</v>
      </c>
      <c r="I34" s="1">
        <f>ETF计划成本计算!D35</f>
        <v>23.258208286674133</v>
      </c>
      <c r="J34" s="18">
        <f>已投部分年化收益率!S21/H34-1</f>
        <v>-0.15190273007576482</v>
      </c>
    </row>
    <row r="35" spans="6:10">
      <c r="F35" t="s">
        <v>82</v>
      </c>
      <c r="G35" s="19">
        <f>C15</f>
        <v>6.0069037499999992E-2</v>
      </c>
      <c r="H35" s="56">
        <f>已投部分年化收益率!X23</f>
        <v>25.983136758016428</v>
      </c>
      <c r="I35" s="1">
        <f>ETF计划成本计算!D40</f>
        <v>26.767059561128526</v>
      </c>
      <c r="J35" s="18">
        <f>已投部分年化收益率!S24/H35-1</f>
        <v>-0.27145054978169114</v>
      </c>
    </row>
    <row r="36" spans="6:10">
      <c r="F36" t="s">
        <v>83</v>
      </c>
      <c r="G36" s="19">
        <f>C14</f>
        <v>3.70254125E-2</v>
      </c>
      <c r="H36" s="1">
        <f>已投部分年化收益率!X25</f>
        <v>28.553373259232707</v>
      </c>
      <c r="I36" s="1">
        <f>ETF计划成本计算!D58</f>
        <v>28.473275081916057</v>
      </c>
      <c r="J36" s="18">
        <f>已投部分年化收益率!S25/H36-1</f>
        <v>-0.27259032369199887</v>
      </c>
    </row>
    <row r="37" spans="6:10">
      <c r="F37" t="s">
        <v>223</v>
      </c>
      <c r="G37" s="19">
        <f>C12</f>
        <v>2.4E-2</v>
      </c>
      <c r="H37" s="1">
        <f>已投部分年化收益率!Y37</f>
        <v>1.0720507214691737</v>
      </c>
      <c r="I37" s="1">
        <f>ETF计划成本计算!D63</f>
        <v>1.0781110625273285</v>
      </c>
      <c r="J37" s="18">
        <f>已投部分年化收益率!U37/H37-1</f>
        <v>7.4150209235739339E-3</v>
      </c>
    </row>
    <row r="38" spans="6:10">
      <c r="F38" t="s">
        <v>238</v>
      </c>
      <c r="G38" s="19">
        <f>C11</f>
        <v>3.1965149999999998E-2</v>
      </c>
      <c r="H38" s="1">
        <f>已投部分年化收益率!Y22</f>
        <v>1.2913875165579136</v>
      </c>
      <c r="J38" s="18">
        <f>已投部分年化收益率!U22/资产配置表!H38-1</f>
        <v>-4.7536092590965251E-2</v>
      </c>
    </row>
    <row r="39" spans="6:10">
      <c r="F39" t="s">
        <v>7471</v>
      </c>
      <c r="G39" s="19">
        <f>C9</f>
        <v>8.0000000000000002E-3</v>
      </c>
      <c r="H39" s="1">
        <f>已投部分年化收益率!X34</f>
        <v>20.6</v>
      </c>
      <c r="J39" s="18">
        <f>已投部分年化收益率!S34/资产配置表!H39-1</f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R16" workbookViewId="0">
      <selection activeCell="E47" sqref="E47:Q47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 ht="15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ht="15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ht="15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ht="15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ht="15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ht="15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ht="15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ht="15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ht="15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ht="15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ht="15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ht="15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ht="15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ht="15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ht="1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 ht="15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 ht="15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 ht="15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 ht="15">
      <c r="A21" s="14">
        <v>43397</v>
      </c>
      <c r="B21" s="95">
        <v>75</v>
      </c>
      <c r="C21" s="95">
        <v>15.87</v>
      </c>
      <c r="D21" s="95">
        <v>1.3</v>
      </c>
      <c r="E21" s="95">
        <v>565</v>
      </c>
      <c r="F21" s="95">
        <v>18.43</v>
      </c>
      <c r="G21" s="95">
        <v>1.75</v>
      </c>
      <c r="H21" s="95">
        <v>962</v>
      </c>
      <c r="I21" s="95">
        <v>22.24</v>
      </c>
      <c r="J21" s="95">
        <v>1.73</v>
      </c>
      <c r="K21" s="95">
        <v>595</v>
      </c>
      <c r="L21" s="95">
        <v>18.87</v>
      </c>
      <c r="M21" s="95">
        <v>1.61</v>
      </c>
      <c r="N21" s="95">
        <v>222</v>
      </c>
      <c r="O21" s="95">
        <v>25.63</v>
      </c>
      <c r="P21" s="95">
        <v>2.0299999999999998</v>
      </c>
      <c r="Q21" s="95">
        <v>292</v>
      </c>
      <c r="R21" s="95">
        <v>23.7</v>
      </c>
      <c r="S21" s="95">
        <v>2.2599999999999998</v>
      </c>
      <c r="T21" s="95">
        <v>234</v>
      </c>
      <c r="U21" s="95">
        <v>11.45</v>
      </c>
      <c r="V21" s="95">
        <v>1.18</v>
      </c>
      <c r="W21" s="95">
        <v>589</v>
      </c>
      <c r="X21" s="95">
        <v>30.16</v>
      </c>
      <c r="Y21" s="95">
        <v>2.27</v>
      </c>
      <c r="Z21" s="95">
        <v>108</v>
      </c>
      <c r="AA21" s="95">
        <v>20.329999999999998</v>
      </c>
      <c r="AB21" s="95">
        <v>1.23</v>
      </c>
    </row>
    <row r="22" spans="1:28">
      <c r="A22" s="90" t="s">
        <v>7446</v>
      </c>
      <c r="B22" s="90"/>
      <c r="C22" s="60">
        <f>IF(C19/C21-1&gt;0,0,C19/C21-1)</f>
        <v>-0.32955261499684929</v>
      </c>
      <c r="D22" s="60">
        <f>IF(D19/D21-1&gt;0,0,D19/D21-1)</f>
        <v>0</v>
      </c>
      <c r="E22" s="90"/>
      <c r="F22" s="60">
        <f>IF(F19/F21-1&gt;0,0,F19/F21-1)</f>
        <v>-0.46771568095496474</v>
      </c>
      <c r="G22" s="60">
        <f>IF(G19/G21-1&gt;0,0,G19/G21-1)</f>
        <v>-0.23428571428571421</v>
      </c>
      <c r="H22" s="90"/>
      <c r="I22" s="60">
        <f t="shared" ref="I22:J22" si="0">IF(I19/I21-1&gt;0,0,I19/I21-1)</f>
        <v>-0.30935251798561147</v>
      </c>
      <c r="J22" s="60">
        <f t="shared" si="0"/>
        <v>-4.6242774566474076E-2</v>
      </c>
      <c r="K22" s="90"/>
      <c r="L22" s="60">
        <f t="shared" ref="L22:M22" si="1">IF(L19/L21-1&gt;0,0,L19/L21-1)</f>
        <v>-0.3184949655537892</v>
      </c>
      <c r="M22" s="60">
        <f t="shared" si="1"/>
        <v>-4.3478260869565299E-2</v>
      </c>
      <c r="N22" s="90"/>
      <c r="O22" s="60">
        <f t="shared" ref="O22:P22" si="2">IF(O19/O21-1&gt;0,0,O19/O21-1)</f>
        <v>-7.8813889972688234E-2</v>
      </c>
      <c r="P22" s="60">
        <f t="shared" si="2"/>
        <v>-3.9408866995073843E-2</v>
      </c>
      <c r="Q22" s="90"/>
      <c r="R22" s="60">
        <f t="shared" ref="R22:S22" si="3">IF(R19/R21-1&gt;0,0,R19/R21-1)</f>
        <v>-0.18185654008438812</v>
      </c>
      <c r="S22" s="60">
        <f t="shared" si="3"/>
        <v>-7.5221238938053103E-2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-0.5862068965517242</v>
      </c>
      <c r="Y22" s="60">
        <f t="shared" si="5"/>
        <v>-0.31277533039647576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3.5912000000000006E-2</v>
      </c>
      <c r="D26" s="58">
        <f>(1+$J$22)*D3</f>
        <v>0.17291618497109823</v>
      </c>
      <c r="E26" s="58">
        <f>(1+$M$22)*E3</f>
        <v>0.17590434782608694</v>
      </c>
      <c r="F26" s="58">
        <f>(1+$P$22)*F3</f>
        <v>7.5310344827586209E-2</v>
      </c>
      <c r="G26" s="58">
        <f>(1+$S$22)*G3</f>
        <v>4.2539823008849557E-3</v>
      </c>
      <c r="H26" s="58">
        <f>(1+$V$22)*H3</f>
        <v>0.26960000000000001</v>
      </c>
      <c r="I26" s="58">
        <f>(1+$Y$22)*I3</f>
        <v>1.7524229074889867E-2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-3.8678910999453753E-2</v>
      </c>
      <c r="M26" s="99">
        <v>3766.12</v>
      </c>
      <c r="N26" s="99">
        <f>M26*(1+L26)</f>
        <v>3620.4505797067372</v>
      </c>
      <c r="O26" s="89">
        <f>资产配置表!C3</f>
        <v>6.6900000000000001E-2</v>
      </c>
      <c r="P26" s="60">
        <f>O26*(1+L26)</f>
        <v>6.4312380854136542E-2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6.7918857142857156E-2</v>
      </c>
      <c r="D27" s="58">
        <f>(1+$J$22)*D4</f>
        <v>0.14954913294797686</v>
      </c>
      <c r="E27" s="58">
        <f>(1+$M$22)*E4</f>
        <v>8.5991304347826078E-2</v>
      </c>
      <c r="F27" s="58">
        <f>(1+$P$22)*F4</f>
        <v>7.1660098522167495E-2</v>
      </c>
      <c r="G27" s="58">
        <f>(1+$S$22)*G4</f>
        <v>4.3094690265486728E-2</v>
      </c>
      <c r="H27" s="58">
        <f>(1+$V$22)*H4</f>
        <v>0.33500000000000002</v>
      </c>
      <c r="I27" s="58">
        <f>(1+$Y$22)*I4</f>
        <v>3.9996475770925112E-2</v>
      </c>
      <c r="J27" s="58">
        <f t="shared" si="7"/>
        <v>6.6E-3</v>
      </c>
      <c r="K27" s="58">
        <f>(1+$AB$22)*K4</f>
        <v>4.3900000000000002E-2</v>
      </c>
      <c r="L27" s="60">
        <f>SUM(B27:K27)-1</f>
        <v>-5.6589441002760532E-2</v>
      </c>
      <c r="M27" s="99">
        <v>2563.31</v>
      </c>
      <c r="N27" s="99">
        <f>M27*(1+L27)</f>
        <v>2418.2537199832141</v>
      </c>
      <c r="O27" s="96">
        <f>资产配置表!C4</f>
        <v>8.0543625000000004E-3</v>
      </c>
      <c r="P27" s="60">
        <f>O27*(1+L27)</f>
        <v>7.5985706284914037E-3</v>
      </c>
    </row>
    <row r="28" spans="1:28" ht="15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4.272685714285715E-2</v>
      </c>
      <c r="D28" s="58">
        <f t="shared" ref="D28:D38" si="10">(1+$J$22)*D5</f>
        <v>8.1641618497109825E-2</v>
      </c>
      <c r="E28" s="58">
        <f t="shared" ref="E28:E38" si="11">(1+$M$22)*E5</f>
        <v>3.5869565217391298E-2</v>
      </c>
      <c r="F28" s="58">
        <f t="shared" ref="F28:F38" si="12">(1+$P$22)*F5</f>
        <v>0.10633743842364533</v>
      </c>
      <c r="G28" s="58">
        <f t="shared" ref="G28:G38" si="13">(1+$S$22)*G5</f>
        <v>2.7465929203539824E-2</v>
      </c>
      <c r="H28" s="58">
        <f t="shared" ref="H28:H38" si="14">(1+$V$22)*H5</f>
        <v>0.622</v>
      </c>
      <c r="I28" s="58">
        <f t="shared" ref="I28:I38" si="15">(1+$Y$22)*I5</f>
        <v>7.4220264317180623E-3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-2.8536565083738474E-2</v>
      </c>
      <c r="M28" s="99">
        <v>2445.71</v>
      </c>
      <c r="N28" s="99">
        <f t="shared" ref="N28:N38" si="18">M28*(1+L28)</f>
        <v>2375.9178374090502</v>
      </c>
      <c r="O28" s="89">
        <f>资产配置表!C4</f>
        <v>8.0543625000000004E-3</v>
      </c>
      <c r="P28" s="60">
        <f t="shared" ref="P28:P38" si="19">O28*(1+L28)</f>
        <v>7.824518660310727E-3</v>
      </c>
    </row>
    <row r="29" spans="1:28" ht="15">
      <c r="A29" s="90" t="str">
        <f>组合权益类行业占比!J5</f>
        <v>沪深300</v>
      </c>
      <c r="B29" s="58">
        <f t="shared" si="8"/>
        <v>2.81E-2</v>
      </c>
      <c r="C29" s="58">
        <f t="shared" si="9"/>
        <v>5.6586285714285714E-2</v>
      </c>
      <c r="D29" s="58">
        <f t="shared" si="10"/>
        <v>0.11826589595375721</v>
      </c>
      <c r="E29" s="58">
        <f t="shared" si="11"/>
        <v>0.1076086956521739</v>
      </c>
      <c r="F29" s="58">
        <f t="shared" si="12"/>
        <v>8.7221674876847302E-2</v>
      </c>
      <c r="G29" s="58">
        <f t="shared" si="13"/>
        <v>5.91858407079646E-2</v>
      </c>
      <c r="H29" s="58">
        <f t="shared" si="14"/>
        <v>0.39069999999999999</v>
      </c>
      <c r="I29" s="58">
        <f t="shared" si="15"/>
        <v>4.7143612334801771E-2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-5.7687994760169503E-2</v>
      </c>
      <c r="M29" s="99">
        <v>3141.3</v>
      </c>
      <c r="N29" s="99">
        <f t="shared" si="18"/>
        <v>2960.0847020598799</v>
      </c>
      <c r="O29" s="89">
        <f>资产配置表!C5</f>
        <v>4.7856999999999997E-2</v>
      </c>
      <c r="P29" s="60">
        <f t="shared" si="19"/>
        <v>4.5096225634762566E-2</v>
      </c>
    </row>
    <row r="30" spans="1:28" ht="15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0.12320342857142857</v>
      </c>
      <c r="D30" s="58">
        <f t="shared" si="10"/>
        <v>0.20658381502890172</v>
      </c>
      <c r="E30" s="58">
        <f t="shared" si="11"/>
        <v>0.11229565217391303</v>
      </c>
      <c r="F30" s="58">
        <f t="shared" si="12"/>
        <v>6.5896551724137942E-2</v>
      </c>
      <c r="G30" s="58">
        <f t="shared" si="13"/>
        <v>0.10736681415929203</v>
      </c>
      <c r="H30" s="58">
        <f t="shared" si="14"/>
        <v>8.2500000000000004E-2</v>
      </c>
      <c r="I30" s="58">
        <f t="shared" si="15"/>
        <v>0.1148352422907489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-0.11641849605157761</v>
      </c>
      <c r="M30" s="99">
        <v>4151.7299999999996</v>
      </c>
      <c r="N30" s="99">
        <f t="shared" si="18"/>
        <v>3668.3918373877832</v>
      </c>
      <c r="O30" s="89">
        <f>资产配置表!C6</f>
        <v>0.2271108875</v>
      </c>
      <c r="P30" s="60">
        <f t="shared" si="19"/>
        <v>0.20067097954031096</v>
      </c>
    </row>
    <row r="31" spans="1:28" ht="15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0.12856342857142858</v>
      </c>
      <c r="D31" s="58">
        <f t="shared" si="10"/>
        <v>0.22508670520231214</v>
      </c>
      <c r="E31" s="58">
        <f t="shared" si="11"/>
        <v>0.12224347826086955</v>
      </c>
      <c r="F31" s="58">
        <f t="shared" si="12"/>
        <v>5.0431034482758624E-2</v>
      </c>
      <c r="G31" s="58">
        <f t="shared" si="13"/>
        <v>9.7749115044247784E-2</v>
      </c>
      <c r="H31" s="58">
        <f t="shared" si="14"/>
        <v>4.1700000000000001E-2</v>
      </c>
      <c r="I31" s="58">
        <f t="shared" si="15"/>
        <v>0.12287577092511012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-0.12165046751327313</v>
      </c>
      <c r="M31" s="99">
        <v>4270.1499999999996</v>
      </c>
      <c r="N31" s="99">
        <f t="shared" si="18"/>
        <v>3750.6842561481963</v>
      </c>
      <c r="O31" s="89">
        <f>资产配置表!C7</f>
        <v>4.9623162499999998E-2</v>
      </c>
      <c r="P31" s="60">
        <f t="shared" si="19"/>
        <v>4.3586481582387877E-2</v>
      </c>
    </row>
    <row r="32" spans="1:28" ht="15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v>5059.3599999999997</v>
      </c>
      <c r="N32" s="99">
        <f t="shared" si="18"/>
        <v>5059.3599999999997</v>
      </c>
      <c r="O32" s="89">
        <f>资产配置表!C12</f>
        <v>2.4E-2</v>
      </c>
      <c r="P32" s="60">
        <f t="shared" si="19"/>
        <v>2.4E-2</v>
      </c>
    </row>
    <row r="33" spans="1:17" ht="15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v>551.29</v>
      </c>
      <c r="N33" s="99">
        <f t="shared" si="18"/>
        <v>551.29</v>
      </c>
      <c r="O33" s="89">
        <f>资产配置表!C11</f>
        <v>3.1965149999999998E-2</v>
      </c>
      <c r="P33" s="60">
        <f t="shared" si="19"/>
        <v>3.1965149999999998E-2</v>
      </c>
    </row>
    <row r="34" spans="1:17" ht="15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0.50446956521739128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0.32478237885462552</v>
      </c>
      <c r="J34" s="58">
        <f t="shared" si="20"/>
        <v>0</v>
      </c>
      <c r="K34" s="58">
        <f t="shared" si="16"/>
        <v>0</v>
      </c>
      <c r="L34" s="60">
        <f t="shared" si="17"/>
        <v>-0.17074805592798326</v>
      </c>
      <c r="M34" s="99">
        <v>1074.96</v>
      </c>
      <c r="N34" s="99">
        <f t="shared" si="18"/>
        <v>891.41266979965519</v>
      </c>
      <c r="O34" s="89">
        <f>资产配置表!C14</f>
        <v>3.70254125E-2</v>
      </c>
      <c r="P34" s="60">
        <f t="shared" si="19"/>
        <v>3.070339529569335E-2</v>
      </c>
    </row>
    <row r="35" spans="1:17" ht="15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0.9247787610619469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-7.5221238938053103E-2</v>
      </c>
      <c r="M35" s="99">
        <v>7702.38</v>
      </c>
      <c r="N35" s="99">
        <f t="shared" si="18"/>
        <v>7122.9974336283185</v>
      </c>
      <c r="O35" s="89">
        <f>资产配置表!C10</f>
        <v>6.1076224999999998E-2</v>
      </c>
      <c r="P35" s="60">
        <f t="shared" si="19"/>
        <v>5.6481995685840704E-2</v>
      </c>
    </row>
    <row r="36" spans="1:17" ht="15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0.32273043478260871</v>
      </c>
      <c r="F36" s="58">
        <f t="shared" si="12"/>
        <v>8.0881773399014784E-2</v>
      </c>
      <c r="G36" s="58">
        <f t="shared" si="13"/>
        <v>0.35927654867256636</v>
      </c>
      <c r="H36" s="58">
        <f t="shared" si="14"/>
        <v>8.7400000000000005E-2</v>
      </c>
      <c r="I36" s="58">
        <f t="shared" si="15"/>
        <v>7.0440528634361232E-2</v>
      </c>
      <c r="J36" s="58">
        <f t="shared" si="20"/>
        <v>0</v>
      </c>
      <c r="K36" s="58">
        <f t="shared" si="16"/>
        <v>0</v>
      </c>
      <c r="L36" s="60">
        <f t="shared" si="17"/>
        <v>-7.9270714511448959E-2</v>
      </c>
      <c r="M36" s="99">
        <v>6092.76</v>
      </c>
      <c r="N36" s="99">
        <f t="shared" si="18"/>
        <v>5609.7825614532248</v>
      </c>
      <c r="O36" s="89">
        <f>资产配置表!C13</f>
        <v>6.4750000000000002E-2</v>
      </c>
      <c r="P36" s="60">
        <f t="shared" si="19"/>
        <v>5.9617221235383683E-2</v>
      </c>
    </row>
    <row r="37" spans="1:17" ht="15">
      <c r="A37" s="90" t="str">
        <f>组合权益类行业占比!J13</f>
        <v>中证环保</v>
      </c>
      <c r="B37" s="58">
        <f t="shared" si="8"/>
        <v>0</v>
      </c>
      <c r="C37" s="58">
        <f t="shared" si="9"/>
        <v>4.4488000000000007E-2</v>
      </c>
      <c r="D37" s="58">
        <f t="shared" si="10"/>
        <v>0.64569364161849707</v>
      </c>
      <c r="E37" s="58">
        <f t="shared" si="11"/>
        <v>5.0791304347826076E-2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5.6077533039647583E-2</v>
      </c>
      <c r="J37" s="58">
        <f t="shared" si="20"/>
        <v>0</v>
      </c>
      <c r="K37" s="58">
        <f t="shared" si="16"/>
        <v>0.13019999999999998</v>
      </c>
      <c r="L37" s="60">
        <f t="shared" si="17"/>
        <v>-7.2749520994029315E-2</v>
      </c>
      <c r="M37" s="99">
        <v>1017.27</v>
      </c>
      <c r="N37" s="99">
        <f t="shared" si="18"/>
        <v>943.26409477840377</v>
      </c>
      <c r="O37" s="89">
        <f>资产配置表!C15</f>
        <v>6.0069037499999992E-2</v>
      </c>
      <c r="P37" s="60">
        <f t="shared" si="19"/>
        <v>5.5699043795302605E-2</v>
      </c>
    </row>
    <row r="38" spans="1:17" ht="15">
      <c r="A38" s="90" t="str">
        <f>组合权益类行业占比!J14</f>
        <v>创业板指</v>
      </c>
      <c r="B38" s="58">
        <f t="shared" si="8"/>
        <v>0</v>
      </c>
      <c r="C38" s="58">
        <f t="shared" si="9"/>
        <v>2.7489142857142861E-2</v>
      </c>
      <c r="D38" s="58">
        <f t="shared" si="10"/>
        <v>0.17997398843930634</v>
      </c>
      <c r="E38" s="58">
        <f t="shared" si="11"/>
        <v>5.7678260869565214E-2</v>
      </c>
      <c r="F38" s="58">
        <f t="shared" si="12"/>
        <v>9.4041871921182268E-2</v>
      </c>
      <c r="G38" s="58">
        <f t="shared" si="13"/>
        <v>0.17145398230088496</v>
      </c>
      <c r="H38" s="58">
        <f t="shared" si="14"/>
        <v>5.1900000000000002E-2</v>
      </c>
      <c r="I38" s="58">
        <f t="shared" si="15"/>
        <v>0.26107665198237889</v>
      </c>
      <c r="J38" s="58">
        <f t="shared" si="20"/>
        <v>0</v>
      </c>
      <c r="K38" s="58">
        <f t="shared" si="16"/>
        <v>0</v>
      </c>
      <c r="L38" s="60">
        <f t="shared" si="17"/>
        <v>-0.15638610162953959</v>
      </c>
      <c r="M38" s="99">
        <v>1249.94</v>
      </c>
      <c r="N38" s="99">
        <f t="shared" si="18"/>
        <v>1054.4667561291733</v>
      </c>
      <c r="O38" s="89">
        <f>资产配置表!C8</f>
        <v>2.4085612499999999E-2</v>
      </c>
      <c r="P38" s="60">
        <f t="shared" si="19"/>
        <v>2.0318957455765289E-2</v>
      </c>
    </row>
    <row r="39" spans="1:17" ht="15">
      <c r="O39" s="89">
        <f>1-SUM(O26:O38)</f>
        <v>0.28942878750000001</v>
      </c>
      <c r="P39" s="60">
        <f>O39</f>
        <v>0.28942878750000001</v>
      </c>
    </row>
    <row r="40" spans="1:17" ht="15">
      <c r="O40" s="89">
        <f>SUM(O26:O39)</f>
        <v>1</v>
      </c>
      <c r="P40" s="89">
        <f>SUM(P26:P39)</f>
        <v>0.93730370786838568</v>
      </c>
    </row>
    <row r="47" spans="1:17" ht="1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C58" sqref="C58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0.80903620551986988</v>
      </c>
      <c r="D2" s="21">
        <f>(($N$2+1)*((1+$K$2*$G$2))^D$1)</f>
        <v>0.95672374426959872</v>
      </c>
      <c r="E2" s="21">
        <f>(($N$2+1)*((1+$K$2*$G$2))^E$1)</f>
        <v>1.1313712743684627</v>
      </c>
      <c r="G2" s="88">
        <v>0.75</v>
      </c>
      <c r="I2" t="s">
        <v>215</v>
      </c>
      <c r="J2" s="18">
        <f>资产配置表!G28</f>
        <v>6.6900000000000001E-2</v>
      </c>
      <c r="K2" s="18">
        <f>已投部分年化收益率!W13</f>
        <v>0.1166</v>
      </c>
      <c r="L2" s="1">
        <f>资产配置表!H28</f>
        <v>10.36193626133454</v>
      </c>
      <c r="M2" s="1">
        <v>21.73</v>
      </c>
      <c r="N2" s="18">
        <f t="shared" ref="N2:N12" si="0">$M2*0.3/$L2-1</f>
        <v>-0.37087047868402911</v>
      </c>
      <c r="O2" s="18">
        <f t="shared" ref="O2:O12" si="1">$M2*0.5/$L2-1</f>
        <v>4.8549202193284735E-2</v>
      </c>
      <c r="P2" s="18">
        <f t="shared" ref="P2:P12" si="2">$M2*0.7/$L2-1</f>
        <v>0.46796888307059858</v>
      </c>
      <c r="Q2" s="18">
        <f t="shared" ref="Q2:Q12" si="3">$M2/$L2-1</f>
        <v>1.0970984043865695</v>
      </c>
    </row>
    <row r="3" spans="1:17">
      <c r="A3" s="19">
        <f>J2</f>
        <v>6.6900000000000001E-2</v>
      </c>
      <c r="B3" s="1">
        <f>M2*0.5</f>
        <v>10.865</v>
      </c>
      <c r="C3" s="21">
        <f>(($O$2+1)*((1+$K$2*$G$2))^C$1)</f>
        <v>1.3483936758664496</v>
      </c>
      <c r="D3" s="21">
        <f>(($O$2+1)*((1+$K$2*$G$2))^D$1)</f>
        <v>1.5945395737826644</v>
      </c>
      <c r="E3" s="21">
        <f>(($O$2+1)*((1+$K$2*$G$2))^E$1)</f>
        <v>1.8856187906141046</v>
      </c>
      <c r="I3" t="s">
        <v>216</v>
      </c>
      <c r="J3" s="18">
        <f>资产配置表!G29</f>
        <v>4.7856999999999997E-2</v>
      </c>
      <c r="K3" s="18">
        <f>已投部分年化收益率!W15</f>
        <v>0.1215</v>
      </c>
      <c r="L3" s="1">
        <f>资产配置表!H29</f>
        <v>11.536463478335202</v>
      </c>
      <c r="M3" s="1">
        <v>19</v>
      </c>
      <c r="N3" s="18">
        <f t="shared" si="0"/>
        <v>-0.50591444157004761</v>
      </c>
      <c r="O3" s="18">
        <f t="shared" si="1"/>
        <v>-0.17652406928341258</v>
      </c>
      <c r="P3" s="18">
        <f t="shared" si="2"/>
        <v>0.15286630300322224</v>
      </c>
      <c r="Q3" s="18">
        <f t="shared" si="3"/>
        <v>0.64695186143317485</v>
      </c>
    </row>
    <row r="4" spans="1:17">
      <c r="B4" s="1">
        <f>M2*0.7</f>
        <v>15.210999999999999</v>
      </c>
      <c r="C4" s="21">
        <f>(($P$2+1)*((1+$K$2*$G$2))^C$1)</f>
        <v>1.8877511462130294</v>
      </c>
      <c r="D4" s="21">
        <f>(($P$2+1)*((1+$K$2*$G$2))^D$1)</f>
        <v>2.2323554032957302</v>
      </c>
      <c r="E4" s="21">
        <f>(($P$2+1)*((1+$K$2*$G$2))^E$1)</f>
        <v>2.6398663068597461</v>
      </c>
      <c r="I4" t="s">
        <v>217</v>
      </c>
      <c r="J4" s="18">
        <f>资产配置表!G30</f>
        <v>0.2271108875</v>
      </c>
      <c r="K4" s="18">
        <f>已投部分年化收益率!W16</f>
        <v>8.7599999999999997E-2</v>
      </c>
      <c r="L4" s="1">
        <f>资产配置表!H30</f>
        <v>22.627504244054737</v>
      </c>
      <c r="M4" s="1">
        <v>83.24</v>
      </c>
      <c r="N4" s="18">
        <f t="shared" si="0"/>
        <v>0.10361265346182691</v>
      </c>
      <c r="O4" s="18">
        <f t="shared" si="1"/>
        <v>0.83935442243637826</v>
      </c>
      <c r="P4" s="18">
        <f t="shared" si="2"/>
        <v>1.5750961914109292</v>
      </c>
      <c r="Q4" s="18">
        <f t="shared" si="3"/>
        <v>2.6787088448727565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8.9099999999999999E-2</v>
      </c>
      <c r="L5" s="1">
        <f>资产配置表!H31</f>
        <v>27.822537267324179</v>
      </c>
      <c r="M5" s="1">
        <v>144.82</v>
      </c>
      <c r="N5" s="18">
        <f t="shared" si="0"/>
        <v>0.56153982588153784</v>
      </c>
      <c r="O5" s="18">
        <f t="shared" si="1"/>
        <v>1.6025663764692299</v>
      </c>
      <c r="P5" s="18">
        <f t="shared" si="2"/>
        <v>2.6435929270569218</v>
      </c>
      <c r="Q5" s="18">
        <f t="shared" si="3"/>
        <v>4.2051327529384599</v>
      </c>
    </row>
    <row r="6" spans="1:17">
      <c r="A6" t="s">
        <v>84</v>
      </c>
      <c r="B6" s="1">
        <f>M3*0.3</f>
        <v>5.7</v>
      </c>
      <c r="C6" s="21">
        <f>(($N$3+1)*((1+$K$3*$G$2))^C$1)</f>
        <v>0.64183837497128049</v>
      </c>
      <c r="D6" s="21">
        <f>(($N$3+1)*((1+$K$3*$G$2))^D$1)</f>
        <v>0.76414309424468863</v>
      </c>
      <c r="E6" s="21">
        <f>(($N$3+1)*((1+$K$3*$G$2))^E$1)</f>
        <v>0.90975343832935318</v>
      </c>
      <c r="I6" t="s">
        <v>178</v>
      </c>
      <c r="J6" s="18">
        <f>资产配置表!G32</f>
        <v>2.4085612499999999E-2</v>
      </c>
      <c r="K6" s="18">
        <f>已投部分年化收益率!W18</f>
        <v>0.1163</v>
      </c>
      <c r="L6" s="1">
        <f>资产配置表!H32</f>
        <v>31.084335611636959</v>
      </c>
      <c r="M6" s="1">
        <v>137.86000000000001</v>
      </c>
      <c r="N6" s="18">
        <f t="shared" si="0"/>
        <v>0.3305093767073124</v>
      </c>
      <c r="O6" s="18">
        <f t="shared" si="1"/>
        <v>1.2175156278455206</v>
      </c>
      <c r="P6" s="18">
        <f t="shared" si="2"/>
        <v>2.104521878983729</v>
      </c>
      <c r="Q6" s="18">
        <f t="shared" si="3"/>
        <v>3.4350312556910412</v>
      </c>
    </row>
    <row r="7" spans="1:17">
      <c r="A7" s="19">
        <f>J3</f>
        <v>4.7856999999999997E-2</v>
      </c>
      <c r="B7" s="1">
        <f>M3*0.5</f>
        <v>9.5</v>
      </c>
      <c r="C7" s="21">
        <f>(($O$3+1)*((1+$K$3*$G$2))^C$1)</f>
        <v>1.0697306249521343</v>
      </c>
      <c r="D7" s="21">
        <f>(($O$3+1)*((1+$K$2*$G$2))^D$1)</f>
        <v>1.2522683311746643</v>
      </c>
      <c r="E7" s="21">
        <f>(($O$3+1)*((1+$K$3*$G$2))^E$1)</f>
        <v>1.5162557305489222</v>
      </c>
      <c r="I7" t="s">
        <v>219</v>
      </c>
      <c r="J7" s="18">
        <f>资产配置表!G33</f>
        <v>6.1076224999999998E-2</v>
      </c>
      <c r="K7" s="18">
        <f>已投部分年化收益率!W19</f>
        <v>0.1153</v>
      </c>
      <c r="L7" s="1">
        <f>资产配置表!H33</f>
        <v>29.334793714838217</v>
      </c>
      <c r="M7" s="1">
        <v>74.42</v>
      </c>
      <c r="N7" s="18">
        <f t="shared" si="0"/>
        <v>-0.23892425435032139</v>
      </c>
      <c r="O7" s="18">
        <f t="shared" si="1"/>
        <v>0.26845957608279769</v>
      </c>
      <c r="P7" s="18">
        <f t="shared" si="2"/>
        <v>0.77584340651591677</v>
      </c>
      <c r="Q7" s="18">
        <f t="shared" si="3"/>
        <v>1.5369191521655954</v>
      </c>
    </row>
    <row r="8" spans="1:17">
      <c r="B8" s="1">
        <f>M3*0.7</f>
        <v>13.299999999999999</v>
      </c>
      <c r="C8" s="21">
        <f>(($P$3+1)*((1+$K$3*$G$2))^C$1)</f>
        <v>1.4976228749329878</v>
      </c>
      <c r="D8" s="21">
        <f>(($P$3+1)*((1+$K$3*$G$2))^D$1)</f>
        <v>1.7830005532376068</v>
      </c>
      <c r="E8" s="21">
        <f>(($P$3+1)*((1+$K$3*$G$2))^E$1)</f>
        <v>2.1227580227684908</v>
      </c>
      <c r="I8" t="s">
        <v>220</v>
      </c>
      <c r="J8" s="18">
        <f>资产配置表!G34</f>
        <v>6.4750000000000002E-2</v>
      </c>
      <c r="K8" s="18">
        <f>已投部分年化收益率!W21</f>
        <v>0.1227</v>
      </c>
      <c r="L8" s="1">
        <f>资产配置表!H34</f>
        <v>23.452498558068552</v>
      </c>
      <c r="M8" s="1">
        <v>52.47</v>
      </c>
      <c r="N8" s="18">
        <f t="shared" si="0"/>
        <v>-0.32881351805543568</v>
      </c>
      <c r="O8" s="18">
        <f t="shared" si="1"/>
        <v>0.11864413657427386</v>
      </c>
      <c r="P8" s="18">
        <f t="shared" si="2"/>
        <v>0.56610179120398341</v>
      </c>
      <c r="Q8" s="18">
        <f t="shared" si="3"/>
        <v>1.2372882731485477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8.0399999999999999E-2</v>
      </c>
      <c r="L9" s="1">
        <f>资产配置表!H35</f>
        <v>25.983136758016428</v>
      </c>
      <c r="M9" s="1">
        <v>71.13</v>
      </c>
      <c r="N9" s="18">
        <f t="shared" si="0"/>
        <v>-0.17873657061761805</v>
      </c>
      <c r="O9" s="18">
        <f t="shared" si="1"/>
        <v>0.36877238230396991</v>
      </c>
      <c r="P9" s="18">
        <f t="shared" si="2"/>
        <v>0.91628133522555788</v>
      </c>
      <c r="Q9" s="18">
        <f t="shared" si="3"/>
        <v>1.7375447646079398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1.3357388836637309</v>
      </c>
      <c r="D10" s="21">
        <f>(($N$4+1)*((1+$K$4*$G$2))^D$1)</f>
        <v>1.517020676511091</v>
      </c>
      <c r="E10" s="21">
        <f>(($N$4+1)*((1+$K$4*$G$2))^E$1)</f>
        <v>1.7229053979846023</v>
      </c>
      <c r="I10" t="s">
        <v>222</v>
      </c>
      <c r="J10" s="18">
        <f>资产配置表!G36</f>
        <v>3.70254125E-2</v>
      </c>
      <c r="K10" s="18">
        <f>已投部分年化收益率!W33</f>
        <v>0.1143</v>
      </c>
      <c r="L10" s="1">
        <f>资产配置表!H36</f>
        <v>28.553373259232707</v>
      </c>
      <c r="M10" s="1">
        <v>121.16</v>
      </c>
      <c r="N10" s="18">
        <f t="shared" si="0"/>
        <v>0.2729844446048737</v>
      </c>
      <c r="O10" s="18">
        <f t="shared" si="1"/>
        <v>1.1216407410081226</v>
      </c>
      <c r="P10" s="18">
        <f t="shared" si="2"/>
        <v>1.9702970374113717</v>
      </c>
      <c r="Q10" s="18">
        <f t="shared" si="3"/>
        <v>3.2432814820162452</v>
      </c>
    </row>
    <row r="11" spans="1:17">
      <c r="A11" s="19">
        <f>J4</f>
        <v>0.2271108875</v>
      </c>
      <c r="B11" s="1">
        <f>M4*0.5</f>
        <v>41.62</v>
      </c>
      <c r="C11" s="21">
        <f>(($O$4+1)*((1+$K$4*$G$2))^C$1)</f>
        <v>2.2262314727728847</v>
      </c>
      <c r="D11" s="21">
        <f>(($O$4+1)*((1+$K$4*$G$2))^D$1)</f>
        <v>2.5283677941851517</v>
      </c>
      <c r="E11" s="21">
        <f>(($O$4+1)*((1+$K$4*$G$2))^E$1)</f>
        <v>2.8715089966410039</v>
      </c>
      <c r="I11" t="s">
        <v>223</v>
      </c>
      <c r="J11" s="18">
        <f>资产配置表!G37</f>
        <v>2.4E-2</v>
      </c>
      <c r="K11" s="18">
        <f>已投部分年化收益率!W14</f>
        <v>0.12280000000000001</v>
      </c>
      <c r="L11" s="1">
        <f>资产配置表!H37</f>
        <v>1.0720507214691737</v>
      </c>
      <c r="M11" s="1">
        <v>3.5</v>
      </c>
      <c r="N11" s="18">
        <f t="shared" si="0"/>
        <v>-2.0568729657636564E-2</v>
      </c>
      <c r="O11" s="18">
        <f t="shared" si="1"/>
        <v>0.63238545057060569</v>
      </c>
      <c r="P11" s="18">
        <f t="shared" si="2"/>
        <v>1.2853396307988478</v>
      </c>
      <c r="Q11" s="18">
        <f t="shared" si="3"/>
        <v>2.2647709011412114</v>
      </c>
    </row>
    <row r="12" spans="1:17">
      <c r="B12" s="1">
        <f>M4*0.7</f>
        <v>58.267999999999994</v>
      </c>
      <c r="C12" s="21">
        <f>(($P$4+1)*((1+$K$4*$G$2))^C$1)</f>
        <v>3.1167240618820382</v>
      </c>
      <c r="D12" s="21">
        <f>(($P$4+1)*((1+$K$4*$G$2))^D$1)</f>
        <v>3.5397149118592117</v>
      </c>
      <c r="E12" s="21">
        <f>(($P$4+1)*((1+$K$4*$G$2))^E$1)</f>
        <v>4.0201125952974053</v>
      </c>
      <c r="I12" t="s">
        <v>239</v>
      </c>
      <c r="J12" s="18">
        <f>资产配置表!G38</f>
        <v>3.1965149999999998E-2</v>
      </c>
      <c r="K12" s="18">
        <f>已投部分年化收益率!W22</f>
        <v>5.5500000000000001E-2</v>
      </c>
      <c r="L12" s="1">
        <f>资产配置表!H38</f>
        <v>1.2913875165579136</v>
      </c>
      <c r="M12">
        <v>5.04</v>
      </c>
      <c r="N12" s="18">
        <f t="shared" si="0"/>
        <v>0.17083368130281351</v>
      </c>
      <c r="O12" s="18">
        <f t="shared" si="1"/>
        <v>0.95138946883802245</v>
      </c>
      <c r="P12" s="18">
        <f t="shared" si="2"/>
        <v>1.7319452563732312</v>
      </c>
      <c r="Q12" s="18">
        <f t="shared" si="3"/>
        <v>2.9027789376760449</v>
      </c>
    </row>
    <row r="13" spans="1:17">
      <c r="B13" s="1"/>
      <c r="E13" s="21"/>
      <c r="I13" t="s">
        <v>284</v>
      </c>
      <c r="J13" s="18">
        <f>资产配置表!C21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1.8959750513365965</v>
      </c>
      <c r="D14" s="21">
        <f>(($N$5+1)*((1+$K$5*$G$2))^D$1)</f>
        <v>2.1578387464024642</v>
      </c>
      <c r="E14" s="21">
        <f>(($N$5+1)*((1+$K$5*$G$2))^E$1)</f>
        <v>2.4558698977569624</v>
      </c>
      <c r="I14" t="s">
        <v>282</v>
      </c>
      <c r="J14" s="18">
        <f>资产配置表!C16</f>
        <v>3.2000000000000001E-2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3.1599584188943277</v>
      </c>
      <c r="D15" s="21">
        <f>(($O$5+1)*((1+$K$5*$G$2))^D$1)</f>
        <v>3.596397910670774</v>
      </c>
      <c r="E15" s="21">
        <f>(($O$5+1)*((1+$K$5*$G$2))^E$1)</f>
        <v>4.0931164962616045</v>
      </c>
      <c r="I15" t="s">
        <v>283</v>
      </c>
      <c r="J15" s="18">
        <f>资产配置表!C17</f>
        <v>1.4908837499999999E-2</v>
      </c>
      <c r="K15" s="18"/>
    </row>
    <row r="16" spans="1:17">
      <c r="B16" s="1">
        <f>M5*0.7</f>
        <v>101.374</v>
      </c>
      <c r="C16" s="21">
        <f>(($P$5+1)*((1+$K$5*$G$2))^C$1)</f>
        <v>4.4239417864520583</v>
      </c>
      <c r="D16" s="21">
        <f>(($P$5+1)*((1+$K$5*$G$2))^D$1)</f>
        <v>5.0349570749390837</v>
      </c>
      <c r="E16" s="21">
        <f>(($P$5+1)*((1+$K$5*$G$2))^E$1)</f>
        <v>5.7303630947662461</v>
      </c>
      <c r="I16" t="s">
        <v>233</v>
      </c>
      <c r="J16" s="19">
        <f>1-SUM(J2:J15)</f>
        <v>0.24637867499999988</v>
      </c>
      <c r="K16" s="19"/>
    </row>
    <row r="17" spans="1:14" ht="15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1.7099217243551232</v>
      </c>
      <c r="D18" s="21">
        <f>(($N$6+1)*((1+$K$6*$G$2))^D$1)</f>
        <v>2.0212269967008147</v>
      </c>
      <c r="E18" s="21">
        <f>(($N$6+1)*((1+$K$6*$G$2))^E$1)</f>
        <v>2.3892079467748384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2.8498695405918721</v>
      </c>
      <c r="D19" s="21">
        <f>(($O$6+1)*((1+$K$6*$G$2))^D$1)</f>
        <v>3.3687116611680246</v>
      </c>
      <c r="E19" s="21">
        <f>(($O$6+1)*((1+$K$6*$G$2))^E$1)</f>
        <v>3.9820132446247301</v>
      </c>
      <c r="I19" t="s">
        <v>227</v>
      </c>
    </row>
    <row r="20" spans="1:14" ht="15">
      <c r="B20" s="1">
        <f>M6*0.7</f>
        <v>96.50200000000001</v>
      </c>
      <c r="C20" s="21">
        <f>(($P$6+1)*((1+$K$6*$G$2))^C$1)</f>
        <v>3.9898173568286213</v>
      </c>
      <c r="D20" s="21">
        <f>(($P$6+1)*((1+$K$6*$G$2))^D$1)</f>
        <v>4.7161963256352344</v>
      </c>
      <c r="E20" s="21">
        <f>(($P$6+1)*((1+$K$6*$G$2))^E$1)</f>
        <v>5.5748185424746231</v>
      </c>
    </row>
    <row r="21" spans="1:14" ht="15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0.97608377681254321</v>
      </c>
      <c r="D22" s="21">
        <f>(($N$7+1)*((1+$K$7*$G$2))^D$1)</f>
        <v>1.1521965478990459</v>
      </c>
      <c r="E22" s="21">
        <f>(($N$7+1)*((1+$K$7*$G$2))^E$1)</f>
        <v>1.360084980948757</v>
      </c>
    </row>
    <row r="23" spans="1:14" ht="15">
      <c r="A23" s="19">
        <f>J7</f>
        <v>6.1076224999999998E-2</v>
      </c>
      <c r="B23" s="1">
        <f>M7*0.5</f>
        <v>37.21</v>
      </c>
      <c r="C23" s="21">
        <f>(($O$7+1)*((1+$K$7*$G$2))^C$1)</f>
        <v>1.6268062946875721</v>
      </c>
      <c r="D23" s="21">
        <f>(($O$7+1)*((1+$K$7*$G$2))^D$1)</f>
        <v>1.9203275798317432</v>
      </c>
      <c r="E23" s="21">
        <f>(($O$7+1)*((1+$K$7*$G$2))^E$1)</f>
        <v>2.2668083015812615</v>
      </c>
    </row>
    <row r="24" spans="1:14" ht="15">
      <c r="B24" s="1">
        <f>M7*0.7</f>
        <v>52.094000000000001</v>
      </c>
      <c r="C24" s="21">
        <f>(($P$7+1)*((1+$K$7*$G$2))^C$1)</f>
        <v>2.277528812562601</v>
      </c>
      <c r="D24" s="21">
        <f>(($P$7+1)*((1+$K$7*$G$2))^D$1)</f>
        <v>2.6884586117644407</v>
      </c>
      <c r="E24" s="21">
        <f>(($P$7+1)*((1+$K$7*$G$2))^E$1)</f>
        <v>3.1735316222137659</v>
      </c>
    </row>
    <row r="25" spans="1:14" ht="15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0.87405939177309322</v>
      </c>
      <c r="D26" s="21">
        <f>(($N$8+1)*((1+$K$8*$G$2))^D$1)</f>
        <v>1.0423320827403877</v>
      </c>
      <c r="E26" s="21">
        <f>(($N$8+1)*((1+$K$8*$G$2))^E$1)</f>
        <v>1.2430003966961092</v>
      </c>
      <c r="L26" t="s">
        <v>7436</v>
      </c>
    </row>
    <row r="27" spans="1:14" ht="15">
      <c r="A27" s="19">
        <f>J8</f>
        <v>6.4750000000000002E-2</v>
      </c>
      <c r="B27" s="1">
        <f>M8*0.5</f>
        <v>26.234999999999999</v>
      </c>
      <c r="C27" s="21">
        <f>(($O$8+1)*((1+$K$8*$G$2))^C$1)</f>
        <v>1.4567656529551554</v>
      </c>
      <c r="D27" s="21">
        <f>(($O$8+1)*((1+$K$8*$G$2))^D$1)</f>
        <v>1.7372201379006462</v>
      </c>
      <c r="E27" s="21">
        <f>(($O$8+1)*((1+$K$8*$G$2))^E$1)</f>
        <v>2.0716673278268485</v>
      </c>
      <c r="L27" t="s">
        <v>7428</v>
      </c>
      <c r="M27" t="s">
        <v>7429</v>
      </c>
      <c r="N27" t="s">
        <v>7430</v>
      </c>
    </row>
    <row r="28" spans="1:14" ht="15">
      <c r="B28" s="1">
        <f>M8*0.7</f>
        <v>36.728999999999999</v>
      </c>
      <c r="C28" s="21">
        <f>(($P$8+1)*((1+$K$8*$G$2))^C$1)</f>
        <v>2.0394719141372177</v>
      </c>
      <c r="D28" s="21">
        <f>(($P$8+1)*((1+$K$8*$G$2))^D$1)</f>
        <v>2.432108193060905</v>
      </c>
      <c r="E28" s="21">
        <f>(($P$8+1)*((1+$K$8*$G$2))^E$1)</f>
        <v>2.9003342589575882</v>
      </c>
      <c r="L28" t="s">
        <v>7431</v>
      </c>
      <c r="M28" t="s">
        <v>7432</v>
      </c>
      <c r="N28" t="s">
        <v>7433</v>
      </c>
    </row>
    <row r="29" spans="1:14" ht="15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0.97896861410738334</v>
      </c>
      <c r="D30" s="21">
        <f>(($N$9+1)*((1+$K$9*$G$2))^D$1)</f>
        <v>1.1005918469568037</v>
      </c>
      <c r="E30" s="21">
        <f>(($N$9+1)*((1+$K$9*$G$2))^E$1)</f>
        <v>1.2373250747085955</v>
      </c>
    </row>
    <row r="31" spans="1:14" ht="15">
      <c r="A31" s="19">
        <f>J9</f>
        <v>6.0069037499999992E-2</v>
      </c>
      <c r="B31" s="1">
        <f>M9*0.5</f>
        <v>35.564999999999998</v>
      </c>
      <c r="C31" s="21">
        <f>(($O$9+1)*((1+$K$9*$G$2))^C$1)</f>
        <v>1.6316143568456389</v>
      </c>
      <c r="D31" s="21">
        <f>(($O$9+1)*((1+$K$9*$G$2))^D$1)</f>
        <v>1.8343197449280062</v>
      </c>
      <c r="E31" s="21">
        <f>(($O$9+1)*((1+$K$9*$G$2))^E$1)</f>
        <v>2.0622084578476594</v>
      </c>
    </row>
    <row r="32" spans="1:14" ht="15">
      <c r="B32" s="1">
        <f>M9*0.7</f>
        <v>49.790999999999997</v>
      </c>
      <c r="C32" s="21">
        <f>(($P$9+1)*((1+$K$9*$G$2))^C$1)</f>
        <v>2.2842600995838946</v>
      </c>
      <c r="D32" s="21">
        <f>(($P$9+1)*((1+$K$9*$G$2))^D$1)</f>
        <v>2.5680476428992085</v>
      </c>
      <c r="E32" s="21">
        <f>(($P$9+1)*((1+$K$9*$G$2))^E$1)</f>
        <v>2.8870918409867228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1.6292307971544373</v>
      </c>
      <c r="D34" s="21">
        <f>(($N$10+1)*((1+$K$10*$G$2))^D$1)</f>
        <v>1.9205352688961934</v>
      </c>
      <c r="E34" s="21">
        <f>(($N$10+1)*((1+$K$10*$G$2))^E$1)</f>
        <v>2.263924623519463</v>
      </c>
      <c r="L34" t="s">
        <v>7439</v>
      </c>
      <c r="M34" t="s">
        <v>7439</v>
      </c>
      <c r="N34" t="s">
        <v>7439</v>
      </c>
    </row>
    <row r="35" spans="1:14" ht="15">
      <c r="A35" s="19">
        <f>J10</f>
        <v>3.70254125E-2</v>
      </c>
      <c r="B35" s="1">
        <f>M10*0.5</f>
        <v>60.58</v>
      </c>
      <c r="C35" s="21">
        <f>(($O$10+1)*((1+$K$10*$G$2))^C$1)</f>
        <v>2.715384661924062</v>
      </c>
      <c r="D35" s="21">
        <f>(($O$10+1)*((1+$K$10*$G$2))^D$1)</f>
        <v>3.2008921148269889</v>
      </c>
      <c r="E35" s="21">
        <f>(($O$10+1)*((1+$K$10*$G$2))^E$1)</f>
        <v>3.7732077058657714</v>
      </c>
      <c r="L35" t="s">
        <v>7440</v>
      </c>
      <c r="M35" t="s">
        <v>7440</v>
      </c>
      <c r="N35" t="s">
        <v>7440</v>
      </c>
    </row>
    <row r="36" spans="1:14" ht="15">
      <c r="B36" s="1">
        <f>M10*0.7</f>
        <v>84.811999999999998</v>
      </c>
      <c r="C36" s="21">
        <f>(($P$10+1)*((1+$K$10*$G$2))^C$1)</f>
        <v>3.8015385266936867</v>
      </c>
      <c r="D36" s="21">
        <f>(($P$10+1)*((1+$K$10*$G$2))^D$1)</f>
        <v>4.4812489607577843</v>
      </c>
      <c r="E36" s="21">
        <f>(($P$10+1)*((1+$K$10*$G$2))^E$1)</f>
        <v>5.2824907882120797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1.2757371041966847</v>
      </c>
      <c r="D38" s="21">
        <f>(($N$11+1)*((1+$K$11*$G$2))^D$1)</f>
        <v>1.5215492039597234</v>
      </c>
      <c r="E38" s="21">
        <f>(($N$11+1)*((1+$K$11*$G$2))^E$1)</f>
        <v>1.8147249715122649</v>
      </c>
    </row>
    <row r="39" spans="1:14" ht="15">
      <c r="A39" s="19">
        <f>J11</f>
        <v>2.4E-2</v>
      </c>
      <c r="B39" s="1">
        <f>M11*0.5</f>
        <v>1.75</v>
      </c>
      <c r="C39" s="21">
        <f>(($O$11+1)*((1+$K$11*$G$2))^C$1)</f>
        <v>2.1262285069944746</v>
      </c>
      <c r="D39" s="21">
        <f>(($O$11+1)*((1+$K$11*$G$2))^D$1)</f>
        <v>2.5359153399328722</v>
      </c>
      <c r="E39" s="21">
        <f>(($O$11+1)*((1+$K$11*$G$2))^E$1)</f>
        <v>3.024541619187108</v>
      </c>
    </row>
    <row r="40" spans="1:14" ht="15">
      <c r="B40" s="1">
        <f>M11*0.7</f>
        <v>2.4499999999999997</v>
      </c>
      <c r="C40" s="21">
        <f>(($P$11+1)*((1+$K$11*$G$2))^C$1)</f>
        <v>2.9767199097922643</v>
      </c>
      <c r="D40" s="21">
        <f>(($P$11+1)*((1+$K$11*$G$2))^D$1)</f>
        <v>3.5502814759060208</v>
      </c>
      <c r="E40" s="21">
        <f>(($P$11+1)*((1+$K$11*$G$2))^E$1)</f>
        <v>4.2343582668619506</v>
      </c>
    </row>
    <row r="42" spans="1:14">
      <c r="A42" t="s">
        <v>7437</v>
      </c>
      <c r="B42" s="1">
        <f>M12*0.3</f>
        <v>1.512</v>
      </c>
      <c r="C42" s="21">
        <f>(($N$12+1)*((1+$K$12*$G$2))^C$1)</f>
        <v>1.323211881149839</v>
      </c>
      <c r="D42" s="21">
        <f>(($N$12+1)*((1+$K$12*$G$2))^D$1)</f>
        <v>1.4356619209163259</v>
      </c>
      <c r="E42" s="21">
        <f>(($N$12+1)*((1+$K$12*$G$2))^E$1)</f>
        <v>1.5576682620005553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2.2053531352497315</v>
      </c>
      <c r="D43" s="21">
        <f>(($O$12+1)*((1+$K$12*$G$2))^D$1)</f>
        <v>2.3927698681938767</v>
      </c>
      <c r="E43" s="21">
        <f>(($O$12+1)*((1+$K$12*$G$2))^E$1)</f>
        <v>2.5961137700009256</v>
      </c>
    </row>
    <row r="44" spans="1:14">
      <c r="B44" s="1">
        <f>M12*0.7</f>
        <v>3.5279999999999996</v>
      </c>
      <c r="C44" s="21">
        <f>(($P$12+1)*((1+$K$12*$G$2))^C$1)</f>
        <v>3.0874943893496236</v>
      </c>
      <c r="D44" s="21">
        <f>(($P$12+1)*((1+$K$12*$G$2))^D$1)</f>
        <v>3.349877815471427</v>
      </c>
      <c r="E44" s="21">
        <f>(($P$12+1)*((1+$K$12*$G$2))^E$1)</f>
        <v>3.6345592780012952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3.2000000000000001E-2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0.24637867499999988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5.5478254298656937E-2</v>
      </c>
      <c r="D64" s="92">
        <f>(D2*$A$3+D6*$A$7+D10*$A$11+D14*$A$15+D18*$A$19+D22*$A$23+D26*$A$27+D30*$A$31+D34*$A$35+D38*$A$39+D42*$A$43+D46*$A$47+D50*$A$51+D54*$A$55+D58*$A$59)^(1/$D$1)-1</f>
        <v>5.7939742420783258E-2</v>
      </c>
      <c r="E64" s="92">
        <f>(E2*$A$3+E6*$A$7+E10*$A$11+E14*$A$15+E18*$A$19+E22*$A$23+E26*$A$27+E30*$A$31+E34*$A$35+E38*$A$39+E42*$A$43+E46*$A$47+E50*$A$51+E54*$A$55+E58*$A$59)^(1/$E$1)-1</f>
        <v>5.9096909491112237E-2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0.20053726145887563</v>
      </c>
      <c r="D65" s="93">
        <f>(D3*$A$3+D7*$A$7+D11*$A$11+D15*$A$15+D19*$A$19+D23*$A$23+D27*$A$27+D31*$A$31+D35*$A$35+D39*$A$39+D43*$A$43+D47*$A$47+D51*$A$51+D55*$A$55+D59*$A$59)^(1/$D$1)-1</f>
        <v>0.14443470345956921</v>
      </c>
      <c r="E65" s="92">
        <f>(E3*$A$3+E7*$A$7+E11*$A$11+E15*$A$15+E19*$A$19+E23*$A$23+E27*$A$27+E31*$A$31+E35*$A$35+E39*$A$39+E43*$A$43+E47*$A$47+E51*$A$51+E55*$A$55+E59*$A$59)^(1/$E$1)-1</f>
        <v>0.1214889874302425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0.31709281207236062</v>
      </c>
      <c r="D66" s="91">
        <f>(D4*$A$3+D8*$A$7+D12*$A$11+D16*$A$15+D20*$A$19+D24*$A$23+D28*$A$27+D32*$A$31+D36*$A$35+D40*$A$39+D44*$A$43+D48*$A$47+D52*$A$51+D56*$A$55+D60*$A$59)^(1/$D$1)-1</f>
        <v>0.21087020526419264</v>
      </c>
      <c r="E66" s="91">
        <f>(E4*$A$3+E8*$A$7+E12*$A$11+E16*$A$15+E20*$A$19+E24*$A$23+E28*$A$27+E32*$A$31+E36*$A$35+E40*$A$39+E44*$A$43+E48*$A$47+E52*$A$51+E56*$A$55+E60*$A$59)^(1/$E$1)-1</f>
        <v>0.16813915179362482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6.6900000000000001E-2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1.2187641513750002E-2</v>
      </c>
      <c r="G2" s="81">
        <f>$B$16*K$2+$B$17*K$4+$B$18*K$5+$B$19*K$6+$B$20*K$7+$B$21*K$8+$B$22*K$9+$B$23*K$10+$B$24*K$11+$B$25*K$12+$B$26*K$13+$B$27*K$14</f>
        <v>1.1556830000000001E-2</v>
      </c>
      <c r="H2" s="79">
        <f>F2-G2</f>
        <v>6.3081151375000109E-4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5.6352231077500002E-2</v>
      </c>
      <c r="G3" s="81">
        <f>$B$16*L$2+$B$17*L$4+$B$18*L$5+$B$19*L$6+$B$20*L$7+$B$21*L$8+$B$22*L$9+$B$23*L$10+$B$24*L$11+$B$25*L$12+$B$26*L$13+$B$27*L$14</f>
        <v>4.0939679999999999E-2</v>
      </c>
      <c r="H3" s="79">
        <f t="shared" ref="H3:H11" si="0">F3-G3</f>
        <v>1.5412551077500003E-2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0.12486766947874998</v>
      </c>
      <c r="G4" s="81">
        <f>$B$16*M$2+$B$17*M$4+$B$18*M$5+$B$19*M$6+$B$20*M$7+$B$21*M$8+$B$22*M$9+$B$23*M$10+$B$24*M$11+$B$25*M$12+$B$26*M$13+$B$27*M$14</f>
        <v>0.10626334000000001</v>
      </c>
      <c r="H4" s="79">
        <f t="shared" si="0"/>
        <v>1.8604329478749973E-2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0.2271108875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8.0785521956249995E-2</v>
      </c>
      <c r="G5" s="81">
        <f>$B$16*N$2+$B$17*N$4+$B$18*N$5+$B$19*N$6+$B$20*N$7+$B$21*N$8+$B$22*N$9+$B$23*N$10+$B$24*N$11+$B$25*N$12+$B$26*N$13+$B$27*N$14</f>
        <v>6.7922590000000005E-2</v>
      </c>
      <c r="H5" s="79">
        <f t="shared" si="0"/>
        <v>1.286293195624999E-2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3.4142537638749998E-2</v>
      </c>
      <c r="G6" s="81">
        <f>$B$16*O$2+$B$17*O$4+$B$18*O$5+$B$19*O$6+$B$20*O$7+$B$21*O$8+$B$22*O$9+$B$23*O$10+$B$24*O$11+$B$25*O$12+$B$26*O$13+$B$27*O$14</f>
        <v>3.3712390000000002E-2</v>
      </c>
      <c r="H6" s="79">
        <f t="shared" si="0"/>
        <v>4.3014763874999612E-4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0.118822390195</v>
      </c>
      <c r="G7" s="81">
        <f>$B$16*P$2+$B$17*P$4+$B$18*P$5+$B$19*P$6+$B$20*P$7+$B$21*P$8+$B$22*P$9+$B$23*P$10+$B$24*P$11+$B$25*P$12+$B$26*P$13+$B$27*P$14</f>
        <v>0.1088147</v>
      </c>
      <c r="H7" s="79">
        <f t="shared" si="0"/>
        <v>1.0007690195000002E-2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0.16007715681124998</v>
      </c>
      <c r="G8" s="81">
        <f>$B$16*Q$2+$B$17*Q$4+$B$18*Q$5+$B$19*Q$6+$B$20*Q$7+$B$21*Q$8+$B$22*Q$9+$B$23*Q$10+$B$24*Q$11+$B$25*Q$12+$B$26*Q$13+$B$27*Q$14</f>
        <v>0.18889108999999998</v>
      </c>
      <c r="H8" s="79">
        <f t="shared" si="0"/>
        <v>-2.8813933188750002E-2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已投部分年化收益率!Z37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8.108804050125E-2</v>
      </c>
      <c r="G9" s="81">
        <f>$B$16*R$2+$B$17*R$4+$B$18*R$5+$B$19*R$6+$B$20*R$7+$B$21*R$8+$B$22*R$9+$B$23*R$10+$B$24*R$11+$B$25*R$12+$B$26*R$13+$B$27*R$14</f>
        <v>6.0823269999999999E-2</v>
      </c>
      <c r="H9" s="79">
        <f t="shared" si="0"/>
        <v>2.0264770501250001E-2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6.11256701875E-3</v>
      </c>
      <c r="G10" s="81">
        <f>$B$16*S$2+$B$17*S$4+$B$18*S$5+$B$19*S$6+$B$20*S$7+$B$21*S$8+$B$22*S$9+$B$23*S$10+$B$24*S$11+$B$25*S$12+$B$26*S$13+$B$27*S$14</f>
        <v>3.9275400000000002E-3</v>
      </c>
      <c r="H10" s="79">
        <f t="shared" si="0"/>
        <v>2.1850270187499998E-3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2.812104835E-2</v>
      </c>
      <c r="G11" s="81">
        <f>$B$16*T$2+$B$17*T$4+$B$18*T$5+$B$19*T$6+$B$20*T$7+$B$21*T$8+$B$22*T$9+$B$23*T$10+$B$24*T$11+$B$25*T$12+$B$26*T$13+$B$27*T$14</f>
        <v>2.7083410000000002E-2</v>
      </c>
      <c r="H11" s="79">
        <f t="shared" si="0"/>
        <v>1.0376383499999982E-3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 ht="15">
      <c r="A17" s="80" t="s">
        <v>44</v>
      </c>
      <c r="B17" s="18">
        <f>资产配置表!D4</f>
        <v>6.0299999999999999E-2</v>
      </c>
    </row>
    <row r="18" spans="1:22" ht="15">
      <c r="A18" s="80" t="s">
        <v>40</v>
      </c>
      <c r="B18" s="18">
        <f>资产配置表!D5</f>
        <v>4.6900000000000004E-2</v>
      </c>
    </row>
    <row r="19" spans="1:22" ht="15">
      <c r="A19" s="80" t="s">
        <v>18</v>
      </c>
      <c r="B19" s="18">
        <f>资产配置表!D6</f>
        <v>0.1608</v>
      </c>
    </row>
    <row r="20" spans="1:22" ht="15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资产配置表!D12</f>
        <v>2.01E-2</v>
      </c>
      <c r="U23" s="18"/>
      <c r="V23" s="18"/>
    </row>
    <row r="24" spans="1:2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2.6800000000000001E-2</v>
      </c>
      <c r="K27" s="18"/>
      <c r="N27" s="18"/>
    </row>
    <row r="28" spans="1:22" ht="15">
      <c r="K28" s="18"/>
      <c r="N28" s="18"/>
    </row>
    <row r="29" spans="1:22" ht="15">
      <c r="K29" s="18"/>
      <c r="N29" s="18"/>
    </row>
    <row r="30" spans="1:22" ht="15">
      <c r="K30" s="18"/>
      <c r="N30" s="18"/>
    </row>
    <row r="31" spans="1:22" ht="15">
      <c r="K31" s="18"/>
      <c r="N31" s="18"/>
    </row>
    <row r="32" spans="1:22" ht="15">
      <c r="K32" s="18"/>
      <c r="N32" s="18"/>
    </row>
    <row r="33" spans="11:14" ht="15">
      <c r="K33" s="18"/>
      <c r="N33" s="18"/>
    </row>
    <row r="34" spans="11:14" ht="15">
      <c r="K34" s="18"/>
      <c r="N34" s="18"/>
    </row>
    <row r="35" spans="11:14" ht="15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2018-11-01T23:09:26Z</dcterms:modified>
</cp:coreProperties>
</file>