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klq26/github/finance-data/Portfolio/"/>
    </mc:Choice>
  </mc:AlternateContent>
  <bookViews>
    <workbookView xWindow="0" yWindow="460" windowWidth="28800" windowHeight="16660" activeTab="3"/>
  </bookViews>
  <sheets>
    <sheet name="且慢组合" sheetId="1" r:id="rId1"/>
    <sheet name="雪球组合" sheetId="3" r:id="rId2"/>
    <sheet name="ETF计划" sheetId="4" r:id="rId3"/>
    <sheet name="模拟组合与实盘对比" sheetId="2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" i="4"/>
  <c r="D2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" i="3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F2" i="4"/>
  <c r="E28" i="4"/>
  <c r="E28" i="3"/>
  <c r="F2" i="3"/>
  <c r="E28" i="1"/>
  <c r="F2" i="1"/>
  <c r="B2" i="4"/>
  <c r="C17" i="4"/>
  <c r="B21" i="4"/>
  <c r="B3" i="4"/>
  <c r="E26" i="4"/>
  <c r="E29" i="4"/>
  <c r="C23" i="4"/>
  <c r="C22" i="4"/>
  <c r="C21" i="4"/>
  <c r="C19" i="4"/>
  <c r="C18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26" i="3"/>
  <c r="E29" i="3"/>
  <c r="C23" i="3"/>
  <c r="C22" i="3"/>
  <c r="C21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E26" i="1"/>
  <c r="E29" i="1"/>
  <c r="B3" i="1"/>
  <c r="C3" i="1"/>
  <c r="B4" i="1"/>
  <c r="C4" i="1"/>
  <c r="C5" i="1"/>
  <c r="B6" i="1"/>
  <c r="C6" i="1"/>
  <c r="C7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C16" i="1"/>
  <c r="C17" i="1"/>
  <c r="C18" i="1"/>
  <c r="C19" i="1"/>
  <c r="B21" i="1"/>
  <c r="C21" i="1"/>
  <c r="C22" i="1"/>
  <c r="C23" i="1"/>
  <c r="C2" i="1"/>
</calcChain>
</file>

<file path=xl/sharedStrings.xml><?xml version="1.0" encoding="utf-8"?>
<sst xmlns="http://schemas.openxmlformats.org/spreadsheetml/2006/main" count="141" uniqueCount="50">
  <si>
    <t>品种</t>
    <rPh sb="0" eb="1">
      <t>pin'z</t>
    </rPh>
    <rPh sb="1" eb="2">
      <t>zhong</t>
    </rPh>
    <phoneticPr fontId="2" type="noConversion"/>
  </si>
  <si>
    <t>上证50</t>
    <rPh sb="0" eb="1">
      <t>shang'z</t>
    </rPh>
    <phoneticPr fontId="2" type="noConversion"/>
  </si>
  <si>
    <t>沪深300</t>
    <rPh sb="0" eb="1">
      <t>hu's</t>
    </rPh>
    <phoneticPr fontId="2" type="noConversion"/>
  </si>
  <si>
    <t>中证500</t>
    <rPh sb="0" eb="1">
      <t>zhong'z</t>
    </rPh>
    <phoneticPr fontId="2" type="noConversion"/>
  </si>
  <si>
    <t>中证1000</t>
    <rPh sb="0" eb="1">
      <t>zhong'z</t>
    </rPh>
    <phoneticPr fontId="2" type="noConversion"/>
  </si>
  <si>
    <t>创业板</t>
    <rPh sb="0" eb="1">
      <t>chuang'ye'b</t>
    </rPh>
    <phoneticPr fontId="2" type="noConversion"/>
  </si>
  <si>
    <t>中证红利</t>
    <rPh sb="0" eb="1">
      <t>zhong'z</t>
    </rPh>
    <rPh sb="2" eb="3">
      <t>hong'li</t>
    </rPh>
    <phoneticPr fontId="2" type="noConversion"/>
  </si>
  <si>
    <t>养老产业</t>
    <rPh sb="0" eb="1">
      <t>yang'lao'chan'y</t>
    </rPh>
    <phoneticPr fontId="2" type="noConversion"/>
  </si>
  <si>
    <t>全指医药</t>
    <rPh sb="0" eb="1">
      <t>quan'zhi'yi'y</t>
    </rPh>
    <phoneticPr fontId="2" type="noConversion"/>
  </si>
  <si>
    <t>中证传媒</t>
    <rPh sb="0" eb="1">
      <t>zhong'z</t>
    </rPh>
    <rPh sb="2" eb="3">
      <t>chuan'm</t>
    </rPh>
    <phoneticPr fontId="2" type="noConversion"/>
  </si>
  <si>
    <t>中证环保</t>
    <rPh sb="0" eb="1">
      <t>zhong'z</t>
    </rPh>
    <rPh sb="2" eb="3">
      <t>huan'bao</t>
    </rPh>
    <phoneticPr fontId="2" type="noConversion"/>
  </si>
  <si>
    <t>全指消费</t>
    <rPh sb="0" eb="1">
      <t>quan'zhi</t>
    </rPh>
    <rPh sb="2" eb="3">
      <t>xiao'f</t>
    </rPh>
    <phoneticPr fontId="2" type="noConversion"/>
  </si>
  <si>
    <t>金融地产</t>
    <rPh sb="0" eb="1">
      <t>jin'r</t>
    </rPh>
    <rPh sb="2" eb="3">
      <t>di'c</t>
    </rPh>
    <phoneticPr fontId="2" type="noConversion"/>
  </si>
  <si>
    <t>证券公司</t>
    <rPh sb="0" eb="1">
      <t>zheng'quan</t>
    </rPh>
    <rPh sb="2" eb="3">
      <t>gong'si</t>
    </rPh>
    <phoneticPr fontId="2" type="noConversion"/>
  </si>
  <si>
    <t>恒生</t>
    <rPh sb="0" eb="1">
      <t>heng'sheng</t>
    </rPh>
    <phoneticPr fontId="2" type="noConversion"/>
  </si>
  <si>
    <t>海外互联网</t>
    <rPh sb="0" eb="1">
      <t>hai'w</t>
    </rPh>
    <rPh sb="2" eb="3">
      <t>hu'l'w</t>
    </rPh>
    <phoneticPr fontId="2" type="noConversion"/>
  </si>
  <si>
    <t>德国30</t>
    <rPh sb="0" eb="1">
      <t>de'guo</t>
    </rPh>
    <phoneticPr fontId="2" type="noConversion"/>
  </si>
  <si>
    <t>原油</t>
    <rPh sb="0" eb="1">
      <t>yuan'you</t>
    </rPh>
    <phoneticPr fontId="2" type="noConversion"/>
  </si>
  <si>
    <t>黄金</t>
    <rPh sb="0" eb="1">
      <t>huang'j</t>
    </rPh>
    <phoneticPr fontId="2" type="noConversion"/>
  </si>
  <si>
    <t>白银</t>
    <rPh sb="0" eb="1">
      <t>bai'yin</t>
    </rPh>
    <phoneticPr fontId="2" type="noConversion"/>
  </si>
  <si>
    <t>可转债</t>
    <rPh sb="0" eb="1">
      <t>ke'zhuan'z</t>
    </rPh>
    <phoneticPr fontId="2" type="noConversion"/>
  </si>
  <si>
    <t>美元债</t>
    <rPh sb="0" eb="1">
      <t>mei'yuan'z</t>
    </rPh>
    <phoneticPr fontId="2" type="noConversion"/>
  </si>
  <si>
    <t>货币基金</t>
    <rPh sb="0" eb="1">
      <t>huo'b'j'j</t>
    </rPh>
    <phoneticPr fontId="2" type="noConversion"/>
  </si>
  <si>
    <t>地产定期</t>
    <rPh sb="0" eb="1">
      <t>di'c</t>
    </rPh>
    <rPh sb="2" eb="3">
      <t>ding'qi</t>
    </rPh>
    <phoneticPr fontId="2" type="noConversion"/>
  </si>
  <si>
    <t>本金总和</t>
    <rPh sb="0" eb="1">
      <t>zi'j</t>
    </rPh>
    <rPh sb="2" eb="3">
      <t>ji'shu</t>
    </rPh>
    <phoneticPr fontId="2" type="noConversion"/>
  </si>
  <si>
    <t>第三轮计划本金</t>
    <rPh sb="0" eb="1">
      <t>di'san'ci</t>
    </rPh>
    <rPh sb="2" eb="3">
      <t>lun</t>
    </rPh>
    <rPh sb="3" eb="4">
      <t>ji'h</t>
    </rPh>
    <phoneticPr fontId="2" type="noConversion"/>
  </si>
  <si>
    <t>房地产项目本金</t>
    <rPh sb="0" eb="1">
      <t>fang'di'c</t>
    </rPh>
    <rPh sb="3" eb="4">
      <t>xiang'm</t>
    </rPh>
    <phoneticPr fontId="2" type="noConversion"/>
  </si>
  <si>
    <t>白银本金</t>
    <rPh sb="0" eb="1">
      <t>bai'y</t>
    </rPh>
    <rPh sb="2" eb="3">
      <t>zi'jin</t>
    </rPh>
    <phoneticPr fontId="2" type="noConversion"/>
  </si>
  <si>
    <t>且慢比例</t>
    <phoneticPr fontId="2" type="noConversion"/>
  </si>
  <si>
    <t>实盘比例</t>
    <phoneticPr fontId="2" type="noConversion"/>
  </si>
  <si>
    <t>且慢总市值</t>
    <rPh sb="0" eb="1">
      <t>zong'shi'zhi</t>
    </rPh>
    <phoneticPr fontId="2" type="noConversion"/>
  </si>
  <si>
    <t>且慢占比</t>
    <phoneticPr fontId="2" type="noConversion"/>
  </si>
  <si>
    <t>且慢市值</t>
    <phoneticPr fontId="2" type="noConversion"/>
  </si>
  <si>
    <t>且慢收益率</t>
    <rPh sb="0" eb="1">
      <t>zong</t>
    </rPh>
    <rPh sb="1" eb="2">
      <t>shou'yi'l</t>
    </rPh>
    <phoneticPr fontId="2" type="noConversion"/>
  </si>
  <si>
    <t>资产配置占比</t>
    <phoneticPr fontId="2" type="noConversion"/>
  </si>
  <si>
    <t>资产配置总市值</t>
    <phoneticPr fontId="2" type="noConversion"/>
  </si>
  <si>
    <t>资产配置收益率</t>
    <phoneticPr fontId="2" type="noConversion"/>
  </si>
  <si>
    <t>雪球比例</t>
    <phoneticPr fontId="2" type="noConversion"/>
  </si>
  <si>
    <t>雪球占比</t>
  </si>
  <si>
    <t>雪球市值</t>
  </si>
  <si>
    <t>雪球总市值</t>
    <phoneticPr fontId="2" type="noConversion"/>
  </si>
  <si>
    <t>雪球收益率</t>
    <phoneticPr fontId="2" type="noConversion"/>
  </si>
  <si>
    <t>ETF计划比例</t>
    <rPh sb="3" eb="4">
      <t>ji'h</t>
    </rPh>
    <rPh sb="5" eb="6">
      <t>bi'li</t>
    </rPh>
    <phoneticPr fontId="2" type="noConversion"/>
  </si>
  <si>
    <t>ETF计划占比</t>
  </si>
  <si>
    <t>ETF计划市值</t>
  </si>
  <si>
    <t>ETF计划总市值</t>
  </si>
  <si>
    <t>ETF计划收益率</t>
  </si>
  <si>
    <t>住房公积金</t>
    <rPh sb="0" eb="1">
      <t>zhu'fang</t>
    </rPh>
    <rPh sb="2" eb="3">
      <t>gon'jj'j</t>
    </rPh>
    <phoneticPr fontId="2" type="noConversion"/>
  </si>
  <si>
    <t>公积金</t>
    <rPh sb="0" eb="1">
      <t>gong'j'j</t>
    </rPh>
    <phoneticPr fontId="2" type="noConversion"/>
  </si>
  <si>
    <t>资产收益率</t>
    <rPh sb="0" eb="1">
      <t>zi'c</t>
    </rPh>
    <rPh sb="2" eb="3">
      <t>shou'yi'lv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</si>
</sst>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00_);[Red]\(0.0000\)"/>
    <numFmt numFmtId="178" formatCode="0.00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</cellXfs>
  <cellStyles count="26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" sqref="D2:D25"/>
    </sheetView>
  </sheetViews>
  <sheetFormatPr baseColWidth="10" defaultColWidth="8.83203125" defaultRowHeight="15" x14ac:dyDescent="0.2"/>
  <cols>
    <col min="1" max="1" width="15.1640625" bestFit="1" customWidth="1"/>
    <col min="2" max="2" width="9" bestFit="1" customWidth="1"/>
    <col min="3" max="3" width="9.83203125" bestFit="1" customWidth="1"/>
    <col min="4" max="4" width="13" bestFit="1" customWidth="1"/>
    <col min="5" max="5" width="11.5" bestFit="1" customWidth="1"/>
    <col min="6" max="7" width="15.1640625" bestFit="1" customWidth="1"/>
  </cols>
  <sheetData>
    <row r="1" spans="1:6" x14ac:dyDescent="0.2">
      <c r="A1" s="2" t="s">
        <v>0</v>
      </c>
      <c r="B1" s="2" t="s">
        <v>31</v>
      </c>
      <c r="C1" s="2" t="s">
        <v>32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7.1000000000000004E-3</v>
      </c>
      <c r="C2" s="5">
        <f t="shared" ref="C2:C19" si="0">B2*$E$26</f>
        <v>6259.9280000000008</v>
      </c>
      <c r="D2" s="3">
        <f>C2/($E$26+$C$24+$F$8+$C$25)</f>
        <v>4.8774625128606567E-3</v>
      </c>
      <c r="F2" s="1">
        <f>F4+F6+F8+F10</f>
        <v>1198159.49</v>
      </c>
    </row>
    <row r="3" spans="1:6" x14ac:dyDescent="0.2">
      <c r="A3" s="2" t="s">
        <v>2</v>
      </c>
      <c r="B3" s="3">
        <f>2.73%+1.97%</f>
        <v>4.7E-2</v>
      </c>
      <c r="C3" s="5">
        <f t="shared" si="0"/>
        <v>41438.960000000006</v>
      </c>
      <c r="D3" s="3">
        <f t="shared" ref="D3:D24" si="1">C3/($E$26+$C$24+$F$8+$C$25)</f>
        <v>3.2287427902035336E-2</v>
      </c>
      <c r="F3" s="1" t="s">
        <v>25</v>
      </c>
    </row>
    <row r="4" spans="1:6" x14ac:dyDescent="0.2">
      <c r="A4" s="2" t="s">
        <v>3</v>
      </c>
      <c r="B4" s="3">
        <f>25.12%+1.41%</f>
        <v>0.26530000000000004</v>
      </c>
      <c r="C4" s="5">
        <f t="shared" si="0"/>
        <v>233909.70400000006</v>
      </c>
      <c r="D4" s="3">
        <f t="shared" si="1"/>
        <v>0.18225222600872287</v>
      </c>
      <c r="F4" s="1">
        <v>800000</v>
      </c>
    </row>
    <row r="5" spans="1:6" x14ac:dyDescent="0.2">
      <c r="A5" s="2" t="s">
        <v>4</v>
      </c>
      <c r="B5" s="3">
        <v>6.8900000000000003E-2</v>
      </c>
      <c r="C5" s="5">
        <f t="shared" si="0"/>
        <v>60747.752000000008</v>
      </c>
      <c r="D5" s="3">
        <f t="shared" si="1"/>
        <v>4.7331995371281584E-2</v>
      </c>
      <c r="F5" s="1" t="s">
        <v>26</v>
      </c>
    </row>
    <row r="6" spans="1:6" x14ac:dyDescent="0.2">
      <c r="A6" s="2" t="s">
        <v>5</v>
      </c>
      <c r="B6" s="3">
        <f>1.48%+0.72%</f>
        <v>2.1999999999999999E-2</v>
      </c>
      <c r="C6" s="5">
        <f t="shared" si="0"/>
        <v>19396.960000000003</v>
      </c>
      <c r="D6" s="3">
        <f t="shared" si="1"/>
        <v>1.5113264124356965E-2</v>
      </c>
      <c r="F6" s="1">
        <v>100000</v>
      </c>
    </row>
    <row r="7" spans="1:6" x14ac:dyDescent="0.2">
      <c r="A7" s="2" t="s">
        <v>6</v>
      </c>
      <c r="B7" s="3">
        <v>8.9300000000000004E-2</v>
      </c>
      <c r="C7" s="5">
        <f t="shared" si="0"/>
        <v>78734.024000000019</v>
      </c>
      <c r="D7" s="3">
        <f t="shared" si="1"/>
        <v>6.1346113013867137E-2</v>
      </c>
      <c r="F7" s="1" t="s">
        <v>27</v>
      </c>
    </row>
    <row r="8" spans="1:6" x14ac:dyDescent="0.2">
      <c r="A8" s="2" t="s">
        <v>7</v>
      </c>
      <c r="B8" s="3">
        <v>7.46E-2</v>
      </c>
      <c r="C8" s="5">
        <f t="shared" si="0"/>
        <v>65773.328000000009</v>
      </c>
      <c r="D8" s="3">
        <f t="shared" si="1"/>
        <v>5.1247704712592254E-2</v>
      </c>
      <c r="F8" s="1">
        <v>16634.060000000001</v>
      </c>
    </row>
    <row r="9" spans="1:6" x14ac:dyDescent="0.2">
      <c r="A9" s="2" t="s">
        <v>8</v>
      </c>
      <c r="B9" s="3">
        <f>4.07%+2.9%</f>
        <v>6.9699999999999998E-2</v>
      </c>
      <c r="C9" s="5">
        <f t="shared" si="0"/>
        <v>61453.096000000005</v>
      </c>
      <c r="D9" s="3">
        <f t="shared" si="1"/>
        <v>4.7881568612167288E-2</v>
      </c>
      <c r="F9" s="1" t="s">
        <v>47</v>
      </c>
    </row>
    <row r="10" spans="1:6" x14ac:dyDescent="0.2">
      <c r="A10" s="2" t="s">
        <v>9</v>
      </c>
      <c r="B10" s="3">
        <f>2.82%</f>
        <v>2.8199999999999999E-2</v>
      </c>
      <c r="C10" s="5">
        <f t="shared" si="0"/>
        <v>24863.376000000004</v>
      </c>
      <c r="D10" s="3">
        <f t="shared" si="1"/>
        <v>1.9372456741221202E-2</v>
      </c>
      <c r="F10" s="1">
        <v>281525.43</v>
      </c>
    </row>
    <row r="11" spans="1:6" x14ac:dyDescent="0.2">
      <c r="A11" s="2" t="s">
        <v>10</v>
      </c>
      <c r="B11" s="3">
        <f>3.4%+2.72%</f>
        <v>6.1200000000000004E-2</v>
      </c>
      <c r="C11" s="5">
        <f t="shared" si="0"/>
        <v>53958.816000000013</v>
      </c>
      <c r="D11" s="3">
        <f t="shared" si="1"/>
        <v>4.2042352927756654E-2</v>
      </c>
    </row>
    <row r="12" spans="1:6" x14ac:dyDescent="0.2">
      <c r="A12" s="2" t="s">
        <v>11</v>
      </c>
      <c r="B12" s="3">
        <f>0.76%</f>
        <v>7.6E-3</v>
      </c>
      <c r="C12" s="5">
        <f t="shared" si="0"/>
        <v>6700.7680000000009</v>
      </c>
      <c r="D12" s="3">
        <f t="shared" si="1"/>
        <v>5.2209457884142239E-3</v>
      </c>
    </row>
    <row r="13" spans="1:6" x14ac:dyDescent="0.2">
      <c r="A13" s="2" t="s">
        <v>12</v>
      </c>
      <c r="B13" s="3">
        <f>2.15%</f>
        <v>2.1499999999999998E-2</v>
      </c>
      <c r="C13" s="5">
        <f t="shared" si="0"/>
        <v>18956.120000000003</v>
      </c>
      <c r="D13" s="3">
        <f t="shared" si="1"/>
        <v>1.4769780848803397E-2</v>
      </c>
    </row>
    <row r="14" spans="1:6" x14ac:dyDescent="0.2">
      <c r="A14" s="2" t="s">
        <v>13</v>
      </c>
      <c r="B14" s="3">
        <f>3.05%</f>
        <v>3.0499999999999999E-2</v>
      </c>
      <c r="C14" s="5">
        <f t="shared" si="0"/>
        <v>26891.24</v>
      </c>
      <c r="D14" s="3">
        <f t="shared" si="1"/>
        <v>2.0952479808767608E-2</v>
      </c>
    </row>
    <row r="15" spans="1:6" x14ac:dyDescent="0.2">
      <c r="A15" s="2" t="s">
        <v>14</v>
      </c>
      <c r="B15" s="3">
        <f>0.6%</f>
        <v>6.0000000000000001E-3</v>
      </c>
      <c r="C15" s="5">
        <f t="shared" si="0"/>
        <v>5290.0800000000008</v>
      </c>
      <c r="D15" s="3">
        <f t="shared" si="1"/>
        <v>4.121799306642809E-3</v>
      </c>
    </row>
    <row r="16" spans="1:6" x14ac:dyDescent="0.2">
      <c r="A16" s="2" t="s">
        <v>15</v>
      </c>
      <c r="B16" s="3">
        <v>1.2699999999999999E-2</v>
      </c>
      <c r="C16" s="5">
        <f t="shared" si="0"/>
        <v>11197.336000000001</v>
      </c>
      <c r="D16" s="3">
        <f t="shared" si="1"/>
        <v>8.7244751990606106E-3</v>
      </c>
    </row>
    <row r="17" spans="1:5" x14ac:dyDescent="0.2">
      <c r="A17" s="2" t="s">
        <v>16</v>
      </c>
      <c r="B17" s="3">
        <v>1.7000000000000001E-2</v>
      </c>
      <c r="C17" s="5">
        <f t="shared" si="0"/>
        <v>14988.560000000003</v>
      </c>
      <c r="D17" s="3">
        <f t="shared" si="1"/>
        <v>1.1678431368821292E-2</v>
      </c>
    </row>
    <row r="18" spans="1:5" x14ac:dyDescent="0.2">
      <c r="A18" s="2" t="s">
        <v>17</v>
      </c>
      <c r="B18" s="3">
        <v>1.09E-2</v>
      </c>
      <c r="C18" s="5">
        <f t="shared" si="0"/>
        <v>9610.3120000000017</v>
      </c>
      <c r="D18" s="3">
        <f t="shared" si="1"/>
        <v>7.4879354070677695E-3</v>
      </c>
    </row>
    <row r="19" spans="1:5" x14ac:dyDescent="0.2">
      <c r="A19" s="2" t="s">
        <v>18</v>
      </c>
      <c r="B19" s="3">
        <v>6.0000000000000001E-3</v>
      </c>
      <c r="C19" s="5">
        <f t="shared" si="0"/>
        <v>5290.0800000000008</v>
      </c>
      <c r="D19" s="3">
        <f t="shared" si="1"/>
        <v>4.121799306642809E-3</v>
      </c>
    </row>
    <row r="20" spans="1:5" x14ac:dyDescent="0.2">
      <c r="A20" s="2" t="s">
        <v>19</v>
      </c>
      <c r="B20" s="3"/>
      <c r="C20" s="5">
        <v>16634.060000000001</v>
      </c>
      <c r="D20" s="3">
        <f t="shared" si="1"/>
        <v>1.296053310623939E-2</v>
      </c>
    </row>
    <row r="21" spans="1:5" x14ac:dyDescent="0.2">
      <c r="A21" s="2" t="s">
        <v>20</v>
      </c>
      <c r="B21" s="3">
        <f>3.28%+0.65%+0.6%</f>
        <v>4.5299999999999993E-2</v>
      </c>
      <c r="C21" s="5">
        <f>B21*$E$26</f>
        <v>39940.103999999999</v>
      </c>
      <c r="D21" s="3">
        <f t="shared" si="1"/>
        <v>3.11195847651532E-2</v>
      </c>
    </row>
    <row r="22" spans="1:5" x14ac:dyDescent="0.2">
      <c r="A22" s="2" t="s">
        <v>21</v>
      </c>
      <c r="B22" s="3">
        <v>6.1999999999999998E-3</v>
      </c>
      <c r="C22" s="5">
        <f>B22*$E$26</f>
        <v>5466.4160000000002</v>
      </c>
      <c r="D22" s="3">
        <f t="shared" si="1"/>
        <v>4.2591926168642352E-3</v>
      </c>
    </row>
    <row r="23" spans="1:5" x14ac:dyDescent="0.2">
      <c r="A23" s="2" t="s">
        <v>22</v>
      </c>
      <c r="B23" s="3">
        <v>0.10299999999999999</v>
      </c>
      <c r="C23" s="5">
        <f>B23*$E$26</f>
        <v>90813.040000000008</v>
      </c>
      <c r="D23" s="3">
        <f t="shared" si="1"/>
        <v>7.0757554764034877E-2</v>
      </c>
    </row>
    <row r="24" spans="1:5" x14ac:dyDescent="0.2">
      <c r="A24" s="2" t="s">
        <v>23</v>
      </c>
      <c r="B24" s="3"/>
      <c r="C24" s="5">
        <v>103600</v>
      </c>
      <c r="D24" s="3">
        <f t="shared" si="1"/>
        <v>8.072059556154064E-2</v>
      </c>
    </row>
    <row r="25" spans="1:5" x14ac:dyDescent="0.2">
      <c r="A25" s="1" t="s">
        <v>48</v>
      </c>
      <c r="B25" s="3"/>
      <c r="C25" s="1">
        <v>281525.43</v>
      </c>
      <c r="D25" s="3">
        <f>C25/($E$26+$C$24+$F$8+$C$25)</f>
        <v>0.21935232022508513</v>
      </c>
    </row>
    <row r="26" spans="1:5" x14ac:dyDescent="0.2">
      <c r="A26" s="2" t="s">
        <v>30</v>
      </c>
      <c r="B26" s="3"/>
      <c r="D26" s="3"/>
      <c r="E26" s="4">
        <f>F4*E27</f>
        <v>881680.00000000012</v>
      </c>
    </row>
    <row r="27" spans="1:5" x14ac:dyDescent="0.2">
      <c r="A27" s="2" t="s">
        <v>33</v>
      </c>
      <c r="D27" s="3"/>
      <c r="E27" s="7">
        <v>1.1021000000000001</v>
      </c>
    </row>
    <row r="28" spans="1:5" x14ac:dyDescent="0.2">
      <c r="A28" s="2" t="s">
        <v>35</v>
      </c>
      <c r="B28" s="6"/>
      <c r="E28" s="8">
        <f>E26+C20+C24+C25</f>
        <v>1283439.4900000002</v>
      </c>
    </row>
    <row r="29" spans="1:5" x14ac:dyDescent="0.2">
      <c r="A29" s="2" t="s">
        <v>36</v>
      </c>
      <c r="E29" s="9">
        <f>E28/F2</f>
        <v>1.07117583319396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" sqref="D2:D25"/>
    </sheetView>
  </sheetViews>
  <sheetFormatPr baseColWidth="10" defaultColWidth="8.83203125" defaultRowHeight="15" x14ac:dyDescent="0.2"/>
  <cols>
    <col min="1" max="1" width="15.1640625" bestFit="1" customWidth="1"/>
    <col min="3" max="3" width="9.83203125" bestFit="1" customWidth="1"/>
    <col min="4" max="4" width="13" bestFit="1" customWidth="1"/>
    <col min="5" max="5" width="11.5" bestFit="1" customWidth="1"/>
    <col min="6" max="6" width="15.1640625" bestFit="1" customWidth="1"/>
  </cols>
  <sheetData>
    <row r="1" spans="1:6" x14ac:dyDescent="0.2">
      <c r="A1" s="2" t="s">
        <v>0</v>
      </c>
      <c r="B1" s="2" t="s">
        <v>38</v>
      </c>
      <c r="C1" s="2" t="s">
        <v>39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9.1999999999999998E-3</v>
      </c>
      <c r="C2" s="5">
        <f t="shared" ref="C2:C19" si="0">B2*$E$26</f>
        <v>8196.0959999999995</v>
      </c>
      <c r="D2" s="3">
        <f>C2/($E$26+$C$24+$F$8+$C$25)</f>
        <v>6.3405892079004952E-3</v>
      </c>
      <c r="F2" s="1">
        <f>F4+F6+F8+F10</f>
        <v>1198159.49</v>
      </c>
    </row>
    <row r="3" spans="1:6" x14ac:dyDescent="0.2">
      <c r="A3" s="2" t="s">
        <v>2</v>
      </c>
      <c r="B3" s="3">
        <v>6.7299999999999999E-2</v>
      </c>
      <c r="C3" s="5">
        <f t="shared" si="0"/>
        <v>59956.223999999987</v>
      </c>
      <c r="D3" s="3">
        <f t="shared" ref="D3:D24" si="1">C3/($E$26+$C$24+$F$8+$C$25)</f>
        <v>4.6382788444750349E-2</v>
      </c>
      <c r="F3" s="1" t="s">
        <v>25</v>
      </c>
    </row>
    <row r="4" spans="1:6" x14ac:dyDescent="0.2">
      <c r="A4" s="2" t="s">
        <v>3</v>
      </c>
      <c r="B4" s="3">
        <v>0.26119999999999999</v>
      </c>
      <c r="C4" s="5">
        <f t="shared" si="0"/>
        <v>232697.85599999997</v>
      </c>
      <c r="D4" s="3">
        <f t="shared" si="1"/>
        <v>0.18001759794604447</v>
      </c>
      <c r="F4" s="1">
        <v>800000</v>
      </c>
    </row>
    <row r="5" spans="1:6" x14ac:dyDescent="0.2">
      <c r="A5" s="2" t="s">
        <v>4</v>
      </c>
      <c r="B5" s="3">
        <v>7.1499999999999994E-2</v>
      </c>
      <c r="C5" s="5">
        <f t="shared" si="0"/>
        <v>63697.919999999984</v>
      </c>
      <c r="D5" s="3">
        <f t="shared" si="1"/>
        <v>4.927740525705275E-2</v>
      </c>
      <c r="F5" s="1" t="s">
        <v>26</v>
      </c>
    </row>
    <row r="6" spans="1:6" x14ac:dyDescent="0.2">
      <c r="A6" s="2" t="s">
        <v>5</v>
      </c>
      <c r="B6" s="3">
        <v>4.3499999999999997E-2</v>
      </c>
      <c r="C6" s="5">
        <f t="shared" si="0"/>
        <v>38753.279999999992</v>
      </c>
      <c r="D6" s="3">
        <f t="shared" si="1"/>
        <v>2.9979959841703423E-2</v>
      </c>
      <c r="F6" s="1">
        <v>100000</v>
      </c>
    </row>
    <row r="7" spans="1:6" x14ac:dyDescent="0.2">
      <c r="A7" s="2" t="s">
        <v>6</v>
      </c>
      <c r="B7" s="3">
        <v>9.2100000000000001E-2</v>
      </c>
      <c r="C7" s="5">
        <f t="shared" si="0"/>
        <v>82050.047999999995</v>
      </c>
      <c r="D7" s="3">
        <f t="shared" si="1"/>
        <v>6.3474811526916905E-2</v>
      </c>
      <c r="F7" s="1" t="s">
        <v>27</v>
      </c>
    </row>
    <row r="8" spans="1:6" x14ac:dyDescent="0.2">
      <c r="A8" s="2" t="s">
        <v>7</v>
      </c>
      <c r="B8" s="3"/>
      <c r="C8" s="5">
        <f t="shared" si="0"/>
        <v>0</v>
      </c>
      <c r="D8" s="3">
        <f t="shared" si="1"/>
        <v>0</v>
      </c>
      <c r="F8" s="1">
        <v>16634.060000000001</v>
      </c>
    </row>
    <row r="9" spans="1:6" x14ac:dyDescent="0.2">
      <c r="A9" s="2" t="s">
        <v>8</v>
      </c>
      <c r="B9" s="3">
        <v>0.11070000000000001</v>
      </c>
      <c r="C9" s="5">
        <f t="shared" si="0"/>
        <v>98620.415999999997</v>
      </c>
      <c r="D9" s="3">
        <f t="shared" si="1"/>
        <v>7.6293828838541827E-2</v>
      </c>
      <c r="F9" s="1" t="s">
        <v>47</v>
      </c>
    </row>
    <row r="10" spans="1:6" x14ac:dyDescent="0.2">
      <c r="A10" s="2" t="s">
        <v>9</v>
      </c>
      <c r="B10" s="3">
        <v>6.5299999999999997E-2</v>
      </c>
      <c r="C10" s="5">
        <f t="shared" si="0"/>
        <v>58174.463999999993</v>
      </c>
      <c r="D10" s="3">
        <f t="shared" si="1"/>
        <v>4.5004399486511117E-2</v>
      </c>
      <c r="F10" s="1">
        <v>281525.43</v>
      </c>
    </row>
    <row r="11" spans="1:6" x14ac:dyDescent="0.2">
      <c r="A11" s="2" t="s">
        <v>10</v>
      </c>
      <c r="B11" s="3">
        <v>7.3599999999999999E-2</v>
      </c>
      <c r="C11" s="5">
        <f t="shared" si="0"/>
        <v>65568.767999999996</v>
      </c>
      <c r="D11" s="3">
        <f t="shared" si="1"/>
        <v>5.0724713663203962E-2</v>
      </c>
    </row>
    <row r="12" spans="1:6" x14ac:dyDescent="0.2">
      <c r="A12" s="2" t="s">
        <v>11</v>
      </c>
      <c r="B12" s="3">
        <v>1.2E-2</v>
      </c>
      <c r="C12" s="5">
        <f t="shared" si="0"/>
        <v>10690.56</v>
      </c>
      <c r="D12" s="3">
        <f t="shared" si="1"/>
        <v>8.2703337494354282E-3</v>
      </c>
    </row>
    <row r="13" spans="1:6" x14ac:dyDescent="0.2">
      <c r="A13" s="2" t="s">
        <v>12</v>
      </c>
      <c r="B13" s="3">
        <v>1.95E-2</v>
      </c>
      <c r="C13" s="5">
        <f t="shared" si="0"/>
        <v>17372.159999999996</v>
      </c>
      <c r="D13" s="3">
        <f t="shared" si="1"/>
        <v>1.3439292342832568E-2</v>
      </c>
    </row>
    <row r="14" spans="1:6" x14ac:dyDescent="0.2">
      <c r="A14" s="2" t="s">
        <v>13</v>
      </c>
      <c r="B14" s="3">
        <v>3.9199999999999999E-2</v>
      </c>
      <c r="C14" s="5">
        <f t="shared" si="0"/>
        <v>34922.495999999992</v>
      </c>
      <c r="D14" s="3">
        <f t="shared" si="1"/>
        <v>2.701642358148906E-2</v>
      </c>
    </row>
    <row r="15" spans="1:6" x14ac:dyDescent="0.2">
      <c r="A15" s="2" t="s">
        <v>14</v>
      </c>
      <c r="B15" s="3">
        <v>8.8000000000000005E-3</v>
      </c>
      <c r="C15" s="5">
        <f t="shared" si="0"/>
        <v>7839.7439999999997</v>
      </c>
      <c r="D15" s="3">
        <f t="shared" si="1"/>
        <v>6.064911416252647E-3</v>
      </c>
    </row>
    <row r="16" spans="1:6" x14ac:dyDescent="0.2">
      <c r="A16" s="2" t="s">
        <v>15</v>
      </c>
      <c r="B16" s="3">
        <v>1.8800000000000001E-2</v>
      </c>
      <c r="C16" s="5">
        <f t="shared" si="0"/>
        <v>16748.543999999998</v>
      </c>
      <c r="D16" s="3">
        <f t="shared" si="1"/>
        <v>1.2956856207448837E-2</v>
      </c>
    </row>
    <row r="17" spans="1:5" x14ac:dyDescent="0.2">
      <c r="A17" s="2" t="s">
        <v>16</v>
      </c>
      <c r="B17" s="3">
        <v>1.5900000000000001E-2</v>
      </c>
      <c r="C17" s="5">
        <f t="shared" si="0"/>
        <v>14164.991999999998</v>
      </c>
      <c r="D17" s="3">
        <f t="shared" si="1"/>
        <v>1.0958192218001941E-2</v>
      </c>
    </row>
    <row r="18" spans="1:5" x14ac:dyDescent="0.2">
      <c r="A18" s="2" t="s">
        <v>17</v>
      </c>
      <c r="B18" s="3">
        <v>1.61E-2</v>
      </c>
      <c r="C18" s="5">
        <f t="shared" si="0"/>
        <v>14343.167999999998</v>
      </c>
      <c r="D18" s="3">
        <f t="shared" si="1"/>
        <v>1.1096031113825865E-2</v>
      </c>
    </row>
    <row r="19" spans="1:5" x14ac:dyDescent="0.2">
      <c r="A19" s="2" t="s">
        <v>18</v>
      </c>
      <c r="B19" s="3">
        <v>8.3000000000000001E-3</v>
      </c>
      <c r="C19" s="5">
        <f t="shared" si="0"/>
        <v>7394.3039999999992</v>
      </c>
      <c r="D19" s="3">
        <f t="shared" si="1"/>
        <v>5.7203141766928372E-3</v>
      </c>
    </row>
    <row r="20" spans="1:5" x14ac:dyDescent="0.2">
      <c r="A20" s="2" t="s">
        <v>19</v>
      </c>
      <c r="B20" s="3"/>
      <c r="C20" s="5">
        <v>16634.060000000001</v>
      </c>
      <c r="D20" s="3">
        <f t="shared" si="1"/>
        <v>1.2868290137105436E-2</v>
      </c>
    </row>
    <row r="21" spans="1:5" x14ac:dyDescent="0.2">
      <c r="A21" s="2" t="s">
        <v>20</v>
      </c>
      <c r="B21" s="3"/>
      <c r="C21" s="5">
        <f>B21*$E$26</f>
        <v>0</v>
      </c>
      <c r="D21" s="3">
        <f t="shared" si="1"/>
        <v>0</v>
      </c>
    </row>
    <row r="22" spans="1:5" x14ac:dyDescent="0.2">
      <c r="A22" s="2" t="s">
        <v>21</v>
      </c>
      <c r="B22" s="3"/>
      <c r="C22" s="5">
        <f>B22*$E$26</f>
        <v>0</v>
      </c>
      <c r="D22" s="3">
        <f t="shared" si="1"/>
        <v>0</v>
      </c>
    </row>
    <row r="23" spans="1:5" x14ac:dyDescent="0.2">
      <c r="A23" s="2" t="s">
        <v>22</v>
      </c>
      <c r="B23" s="3">
        <v>6.7000000000000004E-2</v>
      </c>
      <c r="C23" s="5">
        <f>B23*$E$26</f>
        <v>59688.959999999999</v>
      </c>
      <c r="D23" s="3">
        <f t="shared" si="1"/>
        <v>4.6176030101014474E-2</v>
      </c>
    </row>
    <row r="24" spans="1:5" x14ac:dyDescent="0.2">
      <c r="A24" s="2" t="s">
        <v>23</v>
      </c>
      <c r="B24" s="3"/>
      <c r="C24" s="5">
        <v>103600</v>
      </c>
      <c r="D24" s="3">
        <f t="shared" si="1"/>
        <v>8.0146089301356555E-2</v>
      </c>
    </row>
    <row r="25" spans="1:5" x14ac:dyDescent="0.2">
      <c r="A25" s="1" t="s">
        <v>48</v>
      </c>
      <c r="B25" s="3"/>
      <c r="C25" s="1">
        <v>281525.43</v>
      </c>
      <c r="D25" s="3">
        <f>C25/($E$26+$C$24+$F$8+$C$25)</f>
        <v>0.21779114144191897</v>
      </c>
    </row>
    <row r="26" spans="1:5" x14ac:dyDescent="0.2">
      <c r="A26" s="2" t="s">
        <v>40</v>
      </c>
      <c r="B26" s="3"/>
      <c r="D26" s="3"/>
      <c r="E26" s="4">
        <f>F4*E27</f>
        <v>890879.99999999988</v>
      </c>
    </row>
    <row r="27" spans="1:5" x14ac:dyDescent="0.2">
      <c r="A27" s="2" t="s">
        <v>41</v>
      </c>
      <c r="D27" s="3"/>
      <c r="E27" s="7">
        <v>1.1135999999999999</v>
      </c>
    </row>
    <row r="28" spans="1:5" x14ac:dyDescent="0.2">
      <c r="A28" s="2" t="s">
        <v>35</v>
      </c>
      <c r="B28" s="6"/>
      <c r="E28" s="8">
        <f>E26+C20+C24+C25</f>
        <v>1292639.49</v>
      </c>
    </row>
    <row r="29" spans="1:5" x14ac:dyDescent="0.2">
      <c r="A29" s="2" t="s">
        <v>36</v>
      </c>
      <c r="E29" s="9">
        <f>E28/F2</f>
        <v>1.0788542767373983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29" sqref="E29"/>
    </sheetView>
  </sheetViews>
  <sheetFormatPr baseColWidth="10" defaultRowHeight="15" x14ac:dyDescent="0.2"/>
  <cols>
    <col min="1" max="1" width="14.33203125" bestFit="1" customWidth="1"/>
    <col min="2" max="3" width="11.5" bestFit="1" customWidth="1"/>
    <col min="4" max="4" width="12.5" bestFit="1" customWidth="1"/>
    <col min="5" max="5" width="11" bestFit="1" customWidth="1"/>
    <col min="6" max="6" width="14.33203125" bestFit="1" customWidth="1"/>
  </cols>
  <sheetData>
    <row r="1" spans="1:6" x14ac:dyDescent="0.2">
      <c r="A1" s="2" t="s">
        <v>0</v>
      </c>
      <c r="B1" s="2" t="s">
        <v>43</v>
      </c>
      <c r="C1" s="2" t="s">
        <v>44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f>7.08%+0.71%</f>
        <v>7.7899999999999997E-2</v>
      </c>
      <c r="C2" s="5">
        <f t="shared" ref="C2:C19" si="0">B2*$E$26</f>
        <v>75226.471999999994</v>
      </c>
      <c r="D2" s="3">
        <f>C2/($E$26+$C$24+$F$8+$C$25)</f>
        <v>5.5012651419040118E-2</v>
      </c>
      <c r="F2" s="1">
        <f>F4+F6+F8+F10</f>
        <v>1198159.49</v>
      </c>
    </row>
    <row r="3" spans="1:6" x14ac:dyDescent="0.2">
      <c r="A3" s="2" t="s">
        <v>2</v>
      </c>
      <c r="B3" s="3">
        <f>5.44%</f>
        <v>5.4400000000000004E-2</v>
      </c>
      <c r="C3" s="5">
        <f t="shared" si="0"/>
        <v>52532.992000000006</v>
      </c>
      <c r="D3" s="3">
        <f t="shared" ref="D3:D24" si="1">C3/($E$26+$C$24+$F$8+$C$25)</f>
        <v>3.8417050541666019E-2</v>
      </c>
      <c r="F3" s="1" t="s">
        <v>25</v>
      </c>
    </row>
    <row r="4" spans="1:6" x14ac:dyDescent="0.2">
      <c r="A4" s="2" t="s">
        <v>3</v>
      </c>
      <c r="B4" s="3">
        <v>0.15790000000000001</v>
      </c>
      <c r="C4" s="5">
        <f t="shared" si="0"/>
        <v>152480.872</v>
      </c>
      <c r="D4" s="3">
        <f t="shared" si="1"/>
        <v>0.11150831398031368</v>
      </c>
      <c r="F4" s="1">
        <v>800000</v>
      </c>
    </row>
    <row r="5" spans="1:6" x14ac:dyDescent="0.2">
      <c r="A5" s="2" t="s">
        <v>4</v>
      </c>
      <c r="B5" s="3">
        <v>0</v>
      </c>
      <c r="C5" s="5">
        <f t="shared" si="0"/>
        <v>0</v>
      </c>
      <c r="D5" s="3">
        <f t="shared" si="1"/>
        <v>0</v>
      </c>
      <c r="F5" s="1" t="s">
        <v>26</v>
      </c>
    </row>
    <row r="6" spans="1:6" x14ac:dyDescent="0.2">
      <c r="A6" s="2" t="s">
        <v>5</v>
      </c>
      <c r="B6" s="3">
        <v>2.9000000000000001E-2</v>
      </c>
      <c r="C6" s="5">
        <f t="shared" si="0"/>
        <v>28004.720000000001</v>
      </c>
      <c r="D6" s="3">
        <f t="shared" si="1"/>
        <v>2.0479677678461664E-2</v>
      </c>
      <c r="F6" s="1">
        <v>100000</v>
      </c>
    </row>
    <row r="7" spans="1:6" x14ac:dyDescent="0.2">
      <c r="A7" s="2" t="s">
        <v>6</v>
      </c>
      <c r="B7" s="3">
        <v>9.3799999999999994E-2</v>
      </c>
      <c r="C7" s="5">
        <f t="shared" si="0"/>
        <v>90580.784</v>
      </c>
      <c r="D7" s="3">
        <f t="shared" si="1"/>
        <v>6.624116435309324E-2</v>
      </c>
      <c r="F7" s="1" t="s">
        <v>27</v>
      </c>
    </row>
    <row r="8" spans="1:6" x14ac:dyDescent="0.2">
      <c r="A8" s="2" t="s">
        <v>7</v>
      </c>
      <c r="B8" s="3">
        <v>7.4399999999999994E-2</v>
      </c>
      <c r="C8" s="5">
        <f t="shared" si="0"/>
        <v>71846.59199999999</v>
      </c>
      <c r="D8" s="3">
        <f t="shared" si="1"/>
        <v>5.2540966181984394E-2</v>
      </c>
      <c r="F8" s="1">
        <v>16634.060000000001</v>
      </c>
    </row>
    <row r="9" spans="1:6" x14ac:dyDescent="0.2">
      <c r="A9" s="2" t="s">
        <v>8</v>
      </c>
      <c r="B9" s="3">
        <v>6.7799999999999999E-2</v>
      </c>
      <c r="C9" s="5">
        <f t="shared" si="0"/>
        <v>65473.103999999999</v>
      </c>
      <c r="D9" s="3">
        <f t="shared" si="1"/>
        <v>4.7880074020679335E-2</v>
      </c>
      <c r="F9" s="1" t="s">
        <v>47</v>
      </c>
    </row>
    <row r="10" spans="1:6" x14ac:dyDescent="0.2">
      <c r="A10" s="2" t="s">
        <v>9</v>
      </c>
      <c r="B10" s="3">
        <v>3.2300000000000002E-2</v>
      </c>
      <c r="C10" s="5">
        <f t="shared" si="0"/>
        <v>31191.464000000004</v>
      </c>
      <c r="D10" s="3">
        <f t="shared" si="1"/>
        <v>2.28101237591142E-2</v>
      </c>
      <c r="F10" s="1">
        <v>281525.43</v>
      </c>
    </row>
    <row r="11" spans="1:6" x14ac:dyDescent="0.2">
      <c r="A11" s="2" t="s">
        <v>10</v>
      </c>
      <c r="B11" s="3">
        <v>5.6399999999999999E-2</v>
      </c>
      <c r="C11" s="5">
        <f t="shared" si="0"/>
        <v>54464.351999999999</v>
      </c>
      <c r="D11" s="3">
        <f t="shared" si="1"/>
        <v>3.9829442105697853E-2</v>
      </c>
      <c r="F11" s="1"/>
    </row>
    <row r="12" spans="1:6" x14ac:dyDescent="0.2">
      <c r="A12" s="2" t="s">
        <v>11</v>
      </c>
      <c r="B12" s="3">
        <v>7.7999999999999996E-3</v>
      </c>
      <c r="C12" s="5">
        <f t="shared" si="0"/>
        <v>7532.3040000000001</v>
      </c>
      <c r="D12" s="3">
        <f t="shared" si="1"/>
        <v>5.5083270997241711E-3</v>
      </c>
    </row>
    <row r="13" spans="1:6" x14ac:dyDescent="0.2">
      <c r="A13" s="2" t="s">
        <v>12</v>
      </c>
      <c r="B13" s="3">
        <v>2.0199999999999999E-2</v>
      </c>
      <c r="C13" s="5">
        <f t="shared" si="0"/>
        <v>19506.736000000001</v>
      </c>
      <c r="D13" s="3">
        <f t="shared" si="1"/>
        <v>1.4265154796721573E-2</v>
      </c>
    </row>
    <row r="14" spans="1:6" x14ac:dyDescent="0.2">
      <c r="A14" s="2" t="s">
        <v>13</v>
      </c>
      <c r="B14" s="3">
        <v>2.7699999999999999E-2</v>
      </c>
      <c r="C14" s="5">
        <f t="shared" si="0"/>
        <v>26749.335999999999</v>
      </c>
      <c r="D14" s="3">
        <f t="shared" si="1"/>
        <v>1.9561623161840968E-2</v>
      </c>
    </row>
    <row r="15" spans="1:6" x14ac:dyDescent="0.2">
      <c r="A15" s="2" t="s">
        <v>14</v>
      </c>
      <c r="B15" s="3">
        <v>7.4300000000000005E-2</v>
      </c>
      <c r="C15" s="5">
        <f t="shared" si="0"/>
        <v>71750.024000000005</v>
      </c>
      <c r="D15" s="3">
        <f t="shared" si="1"/>
        <v>5.2470346603782816E-2</v>
      </c>
    </row>
    <row r="16" spans="1:6" x14ac:dyDescent="0.2">
      <c r="A16" s="2" t="s">
        <v>15</v>
      </c>
      <c r="B16" s="3">
        <v>1.18E-2</v>
      </c>
      <c r="C16" s="5">
        <f t="shared" si="0"/>
        <v>11395.023999999999</v>
      </c>
      <c r="D16" s="3">
        <f t="shared" si="1"/>
        <v>8.3331102277878488E-3</v>
      </c>
    </row>
    <row r="17" spans="1:5" x14ac:dyDescent="0.2">
      <c r="A17" s="2" t="s">
        <v>16</v>
      </c>
      <c r="B17" s="3">
        <v>2.46E-2</v>
      </c>
      <c r="C17" s="5">
        <f>B17*$E$26</f>
        <v>23755.727999999999</v>
      </c>
      <c r="D17" s="3">
        <f t="shared" si="1"/>
        <v>1.7372416237591618E-2</v>
      </c>
    </row>
    <row r="18" spans="1:5" x14ac:dyDescent="0.2">
      <c r="A18" s="2" t="s">
        <v>17</v>
      </c>
      <c r="B18" s="3">
        <v>1.8700000000000001E-2</v>
      </c>
      <c r="C18" s="5">
        <f t="shared" si="0"/>
        <v>18058.216</v>
      </c>
      <c r="D18" s="3">
        <f t="shared" si="1"/>
        <v>1.3205861123697694E-2</v>
      </c>
    </row>
    <row r="19" spans="1:5" x14ac:dyDescent="0.2">
      <c r="A19" s="2" t="s">
        <v>18</v>
      </c>
      <c r="B19" s="3">
        <v>5.4000000000000003E-3</v>
      </c>
      <c r="C19" s="5">
        <f t="shared" si="0"/>
        <v>5214.6720000000005</v>
      </c>
      <c r="D19" s="3">
        <f t="shared" si="1"/>
        <v>3.813457222885965E-3</v>
      </c>
    </row>
    <row r="20" spans="1:5" x14ac:dyDescent="0.2">
      <c r="A20" s="2" t="s">
        <v>19</v>
      </c>
      <c r="B20" s="3"/>
      <c r="C20" s="5">
        <v>16634.060000000001</v>
      </c>
      <c r="D20" s="3">
        <f t="shared" si="1"/>
        <v>1.2164384692444418E-2</v>
      </c>
    </row>
    <row r="21" spans="1:5" x14ac:dyDescent="0.2">
      <c r="A21" s="2" t="s">
        <v>20</v>
      </c>
      <c r="B21" s="3">
        <f>3.32%+3.09%</f>
        <v>6.409999999999999E-2</v>
      </c>
      <c r="C21" s="5">
        <f>B21*$E$26</f>
        <v>61900.087999999989</v>
      </c>
      <c r="D21" s="3">
        <f t="shared" si="1"/>
        <v>4.5267149627220428E-2</v>
      </c>
    </row>
    <row r="22" spans="1:5" x14ac:dyDescent="0.2">
      <c r="A22" s="2" t="s">
        <v>21</v>
      </c>
      <c r="B22" s="3">
        <v>6.1000000000000004E-3</v>
      </c>
      <c r="C22" s="5">
        <f>B22*$E$26</f>
        <v>5890.6480000000001</v>
      </c>
      <c r="D22" s="3">
        <f t="shared" si="1"/>
        <v>4.3077942702971087E-3</v>
      </c>
    </row>
    <row r="23" spans="1:5" x14ac:dyDescent="0.2">
      <c r="A23" s="2" t="s">
        <v>22</v>
      </c>
      <c r="B23" s="3">
        <v>9.5399999999999999E-2</v>
      </c>
      <c r="C23" s="5">
        <f>B23*$E$26</f>
        <v>92125.872000000003</v>
      </c>
      <c r="D23" s="3">
        <f t="shared" si="1"/>
        <v>6.7371077604318708E-2</v>
      </c>
    </row>
    <row r="24" spans="1:5" x14ac:dyDescent="0.2">
      <c r="A24" s="2" t="s">
        <v>23</v>
      </c>
      <c r="B24" s="3"/>
      <c r="C24" s="5">
        <v>103600</v>
      </c>
      <c r="D24" s="3">
        <f t="shared" si="1"/>
        <v>7.5762036095652033E-2</v>
      </c>
    </row>
    <row r="25" spans="1:5" x14ac:dyDescent="0.2">
      <c r="A25" s="1" t="s">
        <v>48</v>
      </c>
      <c r="B25" s="3"/>
      <c r="C25" s="1">
        <v>281525.43</v>
      </c>
      <c r="D25" s="3">
        <f>C25/($E$26+$C$24+$F$8+$C$25)</f>
        <v>0.20587779719598415</v>
      </c>
    </row>
    <row r="26" spans="1:5" x14ac:dyDescent="0.2">
      <c r="A26" s="2" t="s">
        <v>45</v>
      </c>
      <c r="B26" s="3"/>
      <c r="D26" s="3"/>
      <c r="E26" s="4">
        <f>F4*E27</f>
        <v>965680</v>
      </c>
    </row>
    <row r="27" spans="1:5" x14ac:dyDescent="0.2">
      <c r="A27" s="2" t="s">
        <v>46</v>
      </c>
      <c r="D27" s="3"/>
      <c r="E27" s="7">
        <v>1.2071000000000001</v>
      </c>
    </row>
    <row r="28" spans="1:5" x14ac:dyDescent="0.2">
      <c r="A28" s="2" t="s">
        <v>35</v>
      </c>
      <c r="B28" s="6"/>
      <c r="E28" s="8">
        <f>E26+C20+C24+C25</f>
        <v>1367439.49</v>
      </c>
    </row>
    <row r="29" spans="1:5" x14ac:dyDescent="0.2">
      <c r="A29" s="2" t="s">
        <v>36</v>
      </c>
      <c r="E29" s="9">
        <f>E28/F2</f>
        <v>1.1412833611992674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1" bestFit="1" customWidth="1"/>
    <col min="5" max="5" width="11.5" bestFit="1" customWidth="1"/>
  </cols>
  <sheetData>
    <row r="1" spans="1:5" x14ac:dyDescent="0.2">
      <c r="A1" s="2" t="s">
        <v>0</v>
      </c>
      <c r="B1" s="2" t="s">
        <v>28</v>
      </c>
      <c r="C1" s="2" t="s">
        <v>37</v>
      </c>
      <c r="D1" s="2" t="s">
        <v>29</v>
      </c>
      <c r="E1" s="2" t="s">
        <v>42</v>
      </c>
    </row>
    <row r="2" spans="1:5" x14ac:dyDescent="0.2">
      <c r="A2" s="2" t="s">
        <v>1</v>
      </c>
      <c r="B2" s="3">
        <v>4.8774625128606567E-3</v>
      </c>
      <c r="C2" s="3">
        <v>6.3405892079004952E-3</v>
      </c>
      <c r="D2" s="3">
        <v>6.0238104269632305E-3</v>
      </c>
      <c r="E2" s="3">
        <v>5.5012651419040118E-2</v>
      </c>
    </row>
    <row r="3" spans="1:5" x14ac:dyDescent="0.2">
      <c r="A3" s="2" t="s">
        <v>2</v>
      </c>
      <c r="B3" s="3">
        <v>3.2287427902035336E-2</v>
      </c>
      <c r="C3" s="3">
        <v>4.6382788444750349E-2</v>
      </c>
      <c r="D3" s="3">
        <v>4.0579000178380127E-2</v>
      </c>
      <c r="E3" s="3">
        <v>3.8417050541666019E-2</v>
      </c>
    </row>
    <row r="4" spans="1:5" x14ac:dyDescent="0.2">
      <c r="A4" s="2" t="s">
        <v>3</v>
      </c>
      <c r="B4" s="3">
        <v>0.18225222600872287</v>
      </c>
      <c r="C4" s="3">
        <v>0.18001759794604447</v>
      </c>
      <c r="D4" s="3">
        <v>0.14901211817791904</v>
      </c>
      <c r="E4" s="3">
        <v>0.11150831398031368</v>
      </c>
    </row>
    <row r="5" spans="1:5" x14ac:dyDescent="0.2">
      <c r="A5" s="2" t="s">
        <v>4</v>
      </c>
      <c r="B5" s="3">
        <v>4.7331995371281584E-2</v>
      </c>
      <c r="C5" s="3">
        <v>4.927740525705275E-2</v>
      </c>
      <c r="D5" s="3">
        <v>3.0713626121166484E-2</v>
      </c>
      <c r="E5" s="3">
        <v>0</v>
      </c>
    </row>
    <row r="6" spans="1:5" x14ac:dyDescent="0.2">
      <c r="A6" s="2" t="s">
        <v>5</v>
      </c>
      <c r="B6" s="3">
        <v>1.5113264124356965E-2</v>
      </c>
      <c r="C6" s="3">
        <v>2.9979959841703423E-2</v>
      </c>
      <c r="D6" s="3">
        <v>1.8605873478575098E-2</v>
      </c>
      <c r="E6" s="3">
        <v>2.0479677678461664E-2</v>
      </c>
    </row>
    <row r="7" spans="1:5" x14ac:dyDescent="0.2">
      <c r="A7" s="2" t="s">
        <v>6</v>
      </c>
      <c r="B7" s="3">
        <v>6.1346113013867137E-2</v>
      </c>
      <c r="C7" s="3">
        <v>6.3474811526916905E-2</v>
      </c>
      <c r="D7" s="3">
        <v>5.9520212115816762E-2</v>
      </c>
      <c r="E7" s="3">
        <v>6.624116435309324E-2</v>
      </c>
    </row>
    <row r="8" spans="1:5" x14ac:dyDescent="0.2">
      <c r="A8" s="2" t="s">
        <v>7</v>
      </c>
      <c r="B8" s="3">
        <v>5.1247704712592254E-2</v>
      </c>
      <c r="C8" s="3">
        <v>0</v>
      </c>
      <c r="D8" s="3">
        <v>5.061979498336807E-2</v>
      </c>
      <c r="E8" s="3">
        <v>5.2540966181984394E-2</v>
      </c>
    </row>
    <row r="9" spans="1:5" x14ac:dyDescent="0.2">
      <c r="A9" s="2" t="s">
        <v>8</v>
      </c>
      <c r="B9" s="3">
        <v>4.7881568612167288E-2</v>
      </c>
      <c r="C9" s="3">
        <v>7.6293828838541827E-2</v>
      </c>
      <c r="D9" s="3">
        <v>4.1478017626222788E-2</v>
      </c>
      <c r="E9" s="3">
        <v>4.7880074020679335E-2</v>
      </c>
    </row>
    <row r="10" spans="1:5" x14ac:dyDescent="0.2">
      <c r="A10" s="2" t="s">
        <v>9</v>
      </c>
      <c r="B10" s="3">
        <v>1.9372456741221202E-2</v>
      </c>
      <c r="C10" s="3">
        <v>4.5004399486511117E-2</v>
      </c>
      <c r="D10" s="3">
        <v>2.4105952608327607E-2</v>
      </c>
      <c r="E10" s="3">
        <v>2.28101237591142E-2</v>
      </c>
    </row>
    <row r="11" spans="1:5" x14ac:dyDescent="0.2">
      <c r="A11" s="2" t="s">
        <v>10</v>
      </c>
      <c r="B11" s="3">
        <v>4.2042352927756654E-2</v>
      </c>
      <c r="C11" s="3">
        <v>5.0724713663203962E-2</v>
      </c>
      <c r="D11" s="3">
        <v>3.6804534389103361E-2</v>
      </c>
      <c r="E11" s="3">
        <v>3.9829442105697853E-2</v>
      </c>
    </row>
    <row r="12" spans="1:5" x14ac:dyDescent="0.2">
      <c r="A12" s="2" t="s">
        <v>11</v>
      </c>
      <c r="B12" s="3">
        <v>5.2209457884142239E-3</v>
      </c>
      <c r="C12" s="3">
        <v>8.2703337494354282E-3</v>
      </c>
      <c r="D12" s="3">
        <v>7.1805004042254181E-3</v>
      </c>
      <c r="E12" s="3">
        <v>5.5083270997241711E-3</v>
      </c>
    </row>
    <row r="13" spans="1:5" x14ac:dyDescent="0.2">
      <c r="A13" s="2" t="s">
        <v>12</v>
      </c>
      <c r="B13" s="3">
        <v>1.4769780848803397E-2</v>
      </c>
      <c r="C13" s="3">
        <v>1.3439292342832568E-2</v>
      </c>
      <c r="D13" s="3">
        <v>1.8190187398152726E-2</v>
      </c>
      <c r="E13" s="3">
        <v>1.4265154796721573E-2</v>
      </c>
    </row>
    <row r="14" spans="1:5" x14ac:dyDescent="0.2">
      <c r="A14" s="2" t="s">
        <v>13</v>
      </c>
      <c r="B14" s="3">
        <v>2.0952479808767608E-2</v>
      </c>
      <c r="C14" s="3">
        <v>2.701642358148906E-2</v>
      </c>
      <c r="D14" s="3">
        <v>2.7345166931883109E-2</v>
      </c>
      <c r="E14" s="3">
        <v>1.9561623161840968E-2</v>
      </c>
    </row>
    <row r="15" spans="1:5" x14ac:dyDescent="0.2">
      <c r="A15" s="2" t="s">
        <v>14</v>
      </c>
      <c r="B15" s="3">
        <v>4.121799306642809E-3</v>
      </c>
      <c r="C15" s="3">
        <v>6.064911416252647E-3</v>
      </c>
      <c r="D15" s="3">
        <v>5.4004122173354685E-3</v>
      </c>
      <c r="E15" s="3">
        <v>5.2470346603782816E-2</v>
      </c>
    </row>
    <row r="16" spans="1:5" x14ac:dyDescent="0.2">
      <c r="A16" s="2" t="s">
        <v>15</v>
      </c>
      <c r="B16" s="3">
        <v>8.7244751990606106E-3</v>
      </c>
      <c r="C16" s="3">
        <v>1.2956856207448837E-2</v>
      </c>
      <c r="D16" s="3">
        <v>1.0870365947752878E-2</v>
      </c>
      <c r="E16" s="3">
        <v>8.3331102277878488E-3</v>
      </c>
    </row>
    <row r="17" spans="1:5" x14ac:dyDescent="0.2">
      <c r="A17" s="2" t="s">
        <v>16</v>
      </c>
      <c r="B17" s="3">
        <v>1.1678431368821292E-2</v>
      </c>
      <c r="C17" s="3">
        <v>1.0958192218001941E-2</v>
      </c>
      <c r="D17" s="3">
        <v>1.2533221345447303E-2</v>
      </c>
      <c r="E17" s="3">
        <v>1.7372416237591618E-2</v>
      </c>
    </row>
    <row r="18" spans="1:5" x14ac:dyDescent="0.2">
      <c r="A18" s="2" t="s">
        <v>17</v>
      </c>
      <c r="B18" s="3">
        <v>7.4879354070677695E-3</v>
      </c>
      <c r="C18" s="3">
        <v>1.1096031113825865E-2</v>
      </c>
      <c r="D18" s="3">
        <v>9.919253853601491E-3</v>
      </c>
      <c r="E18" s="3">
        <v>1.3205861123697694E-2</v>
      </c>
    </row>
    <row r="19" spans="1:5" x14ac:dyDescent="0.2">
      <c r="A19" s="2" t="s">
        <v>18</v>
      </c>
      <c r="B19" s="3">
        <v>4.121799306642809E-3</v>
      </c>
      <c r="C19" s="3">
        <v>5.7203141766928372E-3</v>
      </c>
      <c r="D19" s="3">
        <v>5.344977356878707E-3</v>
      </c>
      <c r="E19" s="3">
        <v>3.813457222885965E-3</v>
      </c>
    </row>
    <row r="20" spans="1:5" x14ac:dyDescent="0.2">
      <c r="A20" s="2" t="s">
        <v>19</v>
      </c>
      <c r="B20" s="3">
        <v>1.296053310623939E-2</v>
      </c>
      <c r="C20" s="3">
        <v>1.2868290137105436E-2</v>
      </c>
      <c r="D20" s="3">
        <v>1.3183309532257914E-2</v>
      </c>
      <c r="E20" s="3">
        <v>1.2164384692444418E-2</v>
      </c>
    </row>
    <row r="21" spans="1:5" x14ac:dyDescent="0.2">
      <c r="A21" s="2" t="s">
        <v>20</v>
      </c>
      <c r="B21" s="3">
        <v>3.11195847651532E-2</v>
      </c>
      <c r="C21" s="3">
        <v>0</v>
      </c>
      <c r="D21" s="3">
        <v>3.9843042305763951E-2</v>
      </c>
      <c r="E21" s="3">
        <v>4.5267149627220428E-2</v>
      </c>
    </row>
    <row r="22" spans="1:5" x14ac:dyDescent="0.2">
      <c r="A22" s="2" t="s">
        <v>21</v>
      </c>
      <c r="B22" s="3">
        <v>4.2591926168642352E-3</v>
      </c>
      <c r="C22" s="3">
        <v>0</v>
      </c>
      <c r="D22" s="3">
        <v>5.5408598915598281E-3</v>
      </c>
      <c r="E22" s="3">
        <v>4.3077942702971087E-3</v>
      </c>
    </row>
    <row r="23" spans="1:5" x14ac:dyDescent="0.2">
      <c r="A23" s="2" t="s">
        <v>22</v>
      </c>
      <c r="B23" s="3">
        <v>7.0757554764034877E-2</v>
      </c>
      <c r="C23" s="3">
        <v>4.6176030101014474E-2</v>
      </c>
      <c r="D23" s="3">
        <v>8.1627233005555716E-2</v>
      </c>
      <c r="E23" s="3">
        <v>6.7371077604318708E-2</v>
      </c>
    </row>
    <row r="24" spans="1:5" x14ac:dyDescent="0.2">
      <c r="A24" s="2" t="s">
        <v>23</v>
      </c>
      <c r="B24" s="3">
        <v>8.072059556154064E-2</v>
      </c>
      <c r="C24" s="3">
        <v>8.0146089301356555E-2</v>
      </c>
      <c r="D24" s="3">
        <v>8.2196243642773129E-2</v>
      </c>
      <c r="E24" s="3">
        <v>7.5762036095652033E-2</v>
      </c>
    </row>
    <row r="25" spans="1:5" x14ac:dyDescent="0.2">
      <c r="A25" s="2" t="s">
        <v>48</v>
      </c>
      <c r="B25" s="3">
        <v>0.21935232022508513</v>
      </c>
      <c r="C25" s="3">
        <v>0.21779114144191897</v>
      </c>
      <c r="D25" s="3">
        <v>0.22336228606096978</v>
      </c>
      <c r="E25" s="3">
        <v>0.20587779719598415</v>
      </c>
    </row>
    <row r="26" spans="1:5" x14ac:dyDescent="0.2">
      <c r="A26" s="2" t="s">
        <v>49</v>
      </c>
      <c r="B26" s="10">
        <v>7.1199999999999999E-2</v>
      </c>
      <c r="C26" s="10">
        <v>7.8899999999999998E-2</v>
      </c>
      <c r="D26" s="10">
        <v>5.1900000000000002E-2</v>
      </c>
      <c r="E26" s="10">
        <v>0.14130000000000001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且慢组合</vt:lpstr>
      <vt:lpstr>雪球组合</vt:lpstr>
      <vt:lpstr>ETF计划</vt:lpstr>
      <vt:lpstr>模拟组合与实盘对比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Microsoft Office 用户</cp:lastModifiedBy>
  <dcterms:created xsi:type="dcterms:W3CDTF">2019-03-19T13:04:56Z</dcterms:created>
  <dcterms:modified xsi:type="dcterms:W3CDTF">2019-03-20T11:50:28Z</dcterms:modified>
</cp:coreProperties>
</file>