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171E56A1-46CD-4D9D-A4A1-F1EB2336D76D}" xr6:coauthVersionLast="36" xr6:coauthVersionMax="36" xr10:uidLastSave="{00000000-0000-0000-0000-000000000000}"/>
  <bookViews>
    <workbookView xWindow="28800" yWindow="-8865" windowWidth="21600" windowHeight="37935" firstSheet="4" activeTab="5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externalReferences>
    <externalReference r:id="rId10"/>
  </externalReferences>
  <definedNames>
    <definedName name="_xlnm._FilterDatabase" localSheetId="0" hidden="1">交易明细!$A$1:$W$122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4" i="10" l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61" i="10"/>
  <c r="B61" i="10"/>
  <c r="D60" i="10"/>
  <c r="E60" i="10"/>
  <c r="F60" i="10"/>
  <c r="G60" i="10"/>
  <c r="H60" i="10"/>
  <c r="I60" i="10"/>
  <c r="J60" i="10"/>
  <c r="K60" i="10"/>
  <c r="L60" i="10"/>
  <c r="C60" i="10"/>
  <c r="M61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B82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P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P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P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P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P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P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P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P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P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P45" i="10"/>
  <c r="C13" i="10"/>
  <c r="C46" i="10"/>
  <c r="M46" i="10"/>
  <c r="P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P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P48" i="10"/>
  <c r="P50" i="10"/>
  <c r="P51" i="10"/>
  <c r="P52" i="10"/>
  <c r="P53" i="10"/>
  <c r="P54" i="10"/>
  <c r="P55" i="10"/>
  <c r="P56" i="10"/>
  <c r="P57" i="10"/>
  <c r="B57" i="10"/>
  <c r="P49" i="10"/>
  <c r="D46" i="10"/>
  <c r="E46" i="10"/>
  <c r="F46" i="10"/>
  <c r="G46" i="10"/>
  <c r="H46" i="10"/>
  <c r="I46" i="10"/>
  <c r="J46" i="10"/>
  <c r="K46" i="10"/>
  <c r="L4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B3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8" i="1"/>
  <c r="H2" i="1"/>
  <c r="J2" i="1"/>
  <c r="H61" i="1"/>
  <c r="J61" i="1"/>
  <c r="H113" i="1"/>
  <c r="J113" i="1"/>
  <c r="X38" i="1"/>
  <c r="D17" i="7"/>
  <c r="C17" i="7"/>
  <c r="D106" i="7"/>
  <c r="E106" i="7"/>
  <c r="F106" i="7"/>
  <c r="B107" i="7"/>
  <c r="D107" i="7"/>
  <c r="E107" i="7"/>
  <c r="F107" i="7"/>
  <c r="B108" i="7"/>
  <c r="D108" i="7"/>
  <c r="E108" i="7"/>
  <c r="F108" i="7"/>
  <c r="B105" i="7"/>
  <c r="F105" i="7"/>
  <c r="E105" i="7"/>
  <c r="D105" i="7"/>
  <c r="C106" i="7"/>
  <c r="C107" i="7"/>
  <c r="C108" i="7"/>
  <c r="C105" i="7"/>
  <c r="C2" i="7"/>
  <c r="C3" i="7"/>
  <c r="C4" i="7"/>
  <c r="C5" i="7"/>
  <c r="C6" i="7"/>
  <c r="C7" i="7"/>
  <c r="C8" i="7"/>
  <c r="C9" i="7"/>
  <c r="C10" i="7"/>
  <c r="C11" i="7"/>
  <c r="C12" i="7"/>
  <c r="C13" i="7"/>
  <c r="I17" i="7"/>
  <c r="H17" i="7"/>
  <c r="G17" i="7"/>
  <c r="F17" i="7"/>
  <c r="Z16" i="1"/>
  <c r="B4" i="7"/>
  <c r="Z17" i="1"/>
  <c r="B5" i="7"/>
  <c r="Z18" i="1"/>
  <c r="B6" i="7"/>
  <c r="C25" i="7"/>
  <c r="C27" i="7"/>
  <c r="Z13" i="1"/>
  <c r="B7" i="7"/>
  <c r="D25" i="7"/>
  <c r="D27" i="7"/>
  <c r="Z21" i="1"/>
  <c r="B8" i="7"/>
  <c r="Z19" i="1"/>
  <c r="B9" i="7"/>
  <c r="Z25" i="1"/>
  <c r="B10" i="7"/>
  <c r="Z23" i="1"/>
  <c r="B11" i="7"/>
  <c r="Z34" i="1"/>
  <c r="B12" i="7"/>
  <c r="Z37" i="1"/>
  <c r="B13" i="7"/>
  <c r="Z22" i="1"/>
  <c r="B14" i="7"/>
  <c r="E25" i="7"/>
  <c r="E27" i="7"/>
  <c r="Z39" i="1"/>
  <c r="B15" i="7"/>
  <c r="Z40" i="1"/>
  <c r="B16" i="7"/>
  <c r="Z38" i="1"/>
  <c r="B17" i="7"/>
  <c r="F25" i="7"/>
  <c r="F27" i="7"/>
  <c r="Z43" i="1"/>
  <c r="B19" i="7"/>
  <c r="G25" i="7"/>
  <c r="G27" i="7"/>
  <c r="Z46" i="1"/>
  <c r="B18" i="7"/>
  <c r="H25" i="7"/>
  <c r="H27" i="7"/>
  <c r="Z42" i="1"/>
  <c r="B20" i="7"/>
  <c r="Z14" i="1"/>
  <c r="B2" i="7"/>
  <c r="Z15" i="1"/>
  <c r="B3" i="7"/>
  <c r="B21" i="7"/>
  <c r="I25" i="7"/>
  <c r="I27" i="7"/>
  <c r="B25" i="7"/>
  <c r="B27" i="7"/>
  <c r="T14" i="1"/>
  <c r="H60" i="1"/>
  <c r="J60" i="1"/>
  <c r="X14" i="1"/>
  <c r="D2" i="7"/>
  <c r="B30" i="7"/>
  <c r="C30" i="7"/>
  <c r="A31" i="7"/>
  <c r="T15" i="1"/>
  <c r="H47" i="1"/>
  <c r="J47" i="1"/>
  <c r="H53" i="1"/>
  <c r="J53" i="1"/>
  <c r="H68" i="1"/>
  <c r="J68" i="1"/>
  <c r="H82" i="1"/>
  <c r="J8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D3" i="7"/>
  <c r="B35" i="7"/>
  <c r="C35" i="7"/>
  <c r="A36" i="7"/>
  <c r="X16" i="1"/>
  <c r="D4" i="7"/>
  <c r="B40" i="7"/>
  <c r="C40" i="7"/>
  <c r="A41" i="7"/>
  <c r="X17" i="1"/>
  <c r="D5" i="7"/>
  <c r="B45" i="7"/>
  <c r="C45" i="7"/>
  <c r="A46" i="7"/>
  <c r="X18" i="1"/>
  <c r="D6" i="7"/>
  <c r="B50" i="7"/>
  <c r="C50" i="7"/>
  <c r="A51" i="7"/>
  <c r="X13" i="1"/>
  <c r="D7" i="7"/>
  <c r="B55" i="7"/>
  <c r="C55" i="7"/>
  <c r="A56" i="7"/>
  <c r="X21" i="1"/>
  <c r="D8" i="7"/>
  <c r="B60" i="7"/>
  <c r="C60" i="7"/>
  <c r="A61" i="7"/>
  <c r="X19" i="1"/>
  <c r="D9" i="7"/>
  <c r="B65" i="7"/>
  <c r="C65" i="7"/>
  <c r="A66" i="7"/>
  <c r="X25" i="1"/>
  <c r="D10" i="7"/>
  <c r="B70" i="7"/>
  <c r="C70" i="7"/>
  <c r="A71" i="7"/>
  <c r="X23" i="1"/>
  <c r="D11" i="7"/>
  <c r="B75" i="7"/>
  <c r="C75" i="7"/>
  <c r="A76" i="7"/>
  <c r="X34" i="1"/>
  <c r="D12" i="7"/>
  <c r="B80" i="7"/>
  <c r="C80" i="7"/>
  <c r="A81" i="7"/>
  <c r="V37" i="1"/>
  <c r="I45" i="1"/>
  <c r="K45" i="1"/>
  <c r="I55" i="1"/>
  <c r="K55" i="1"/>
  <c r="I89" i="1"/>
  <c r="K89" i="1"/>
  <c r="Y37" i="1"/>
  <c r="D13" i="7"/>
  <c r="B85" i="7"/>
  <c r="C85" i="7"/>
  <c r="A86" i="7"/>
  <c r="V22" i="1"/>
  <c r="I40" i="1"/>
  <c r="K40" i="1"/>
  <c r="I51" i="1"/>
  <c r="K51" i="1"/>
  <c r="I93" i="1"/>
  <c r="K93" i="1"/>
  <c r="Y22" i="1"/>
  <c r="D14" i="7"/>
  <c r="B90" i="7"/>
  <c r="C90" i="7"/>
  <c r="A91" i="7"/>
  <c r="X39" i="1"/>
  <c r="D15" i="7"/>
  <c r="B95" i="7"/>
  <c r="C95" i="7"/>
  <c r="A96" i="7"/>
  <c r="A101" i="7"/>
  <c r="A106" i="7"/>
  <c r="A111" i="7"/>
  <c r="A116" i="7"/>
  <c r="A121" i="7"/>
  <c r="A126" i="7"/>
  <c r="C100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11" i="7"/>
  <c r="C116" i="7"/>
  <c r="C121" i="7"/>
  <c r="C126" i="7"/>
  <c r="J3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G30" i="10"/>
  <c r="J30" i="10"/>
  <c r="M30" i="10"/>
  <c r="P30" i="10"/>
  <c r="S30" i="10"/>
  <c r="V30" i="10"/>
  <c r="Y30" i="10"/>
  <c r="AB30" i="10"/>
  <c r="O3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C5" i="4"/>
  <c r="C6" i="4"/>
  <c r="C7" i="4"/>
  <c r="C12" i="4"/>
  <c r="C11" i="4"/>
  <c r="C14" i="4"/>
  <c r="C10" i="4"/>
  <c r="C13" i="4"/>
  <c r="C15" i="4"/>
  <c r="C8" i="4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<sst xmlns="http://schemas.openxmlformats.org/spreadsheetml/2006/main" count="15875" uniqueCount="7647">
  <si>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</si>
  <si>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</si>
  <si>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</si>
  <si>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</si>
  <si>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</si>
  <si>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</si>
  <si>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</si>
  <si>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</si>
  <si>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</si>
  <si>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</si>
  <si>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</si>
  <si>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</si>
  <si>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</si>
  <si>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</si>
  <si>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</si>
  <si>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</si>
  <si>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</si>
  <si>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</si>
  <si>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</si>
  <si>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</si>
  <si>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</si>
  <si>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</si>
  <si>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</si>
  <si>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</si>
  <si>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</si>
  <si>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</si>
  <si>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</si>
  <si>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</si>
  <si>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</si>
  <si>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</si>
  <si>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</si>
  <si>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</si>
  <si>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</si>
  <si>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</si>
  <si>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</si>
  <si>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</si>
  <si>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</si>
  <si>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</si>
  <si>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</si>
  <si>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</si>
  <si>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</si>
  <si>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</si>
  <si>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</si>
  <si>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</si>
  <si>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</si>
  <si>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</si>
  <si>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</si>
  <si>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</si>
  <si>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</si>
  <si>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</si>
  <si>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</si>
  <si>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</si>
  <si>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</si>
  <si>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</si>
  <si>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</si>
  <si>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</si>
  <si>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</si>
  <si>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</si>
  <si>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</si>
  <si>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</si>
  <si>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</si>
  <si>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</si>
  <si>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</si>
  <si>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</si>
  <si>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</si>
  <si>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</si>
  <si>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</si>
  <si>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</si>
  <si>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</si>
  <si>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</si>
  <si>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</si>
  <si>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</si>
  <si>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</si>
  <si>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</si>
  <si>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</si>
  <si>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</si>
  <si>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</si>
  <si>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</si>
  <si>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</si>
  <si>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</si>
  <si>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</si>
  <si>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</si>
  <si>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</si>
  <si>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</si>
  <si>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</si>
  <si>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</si>
  <si>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</si>
  <si>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</si>
  <si>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</si>
  <si>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</si>
  <si>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</si>
  <si>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</si>
  <si>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</si>
  <si>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</si>
  <si>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</si>
  <si>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</si>
  <si>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</si>
  <si>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</si>
  <si>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</si>
  <si>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</si>
  <si>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</si>
  <si>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</si>
  <si>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</si>
  <si>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</si>
  <si>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</si>
  <si>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</si>
  <si>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</si>
  <si>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</si>
  <si>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</si>
  <si>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</si>
  <si>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</si>
  <si>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</si>
  <si>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</si>
  <si>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</si>
  <si>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</si>
  <si>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</si>
  <si>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</si>
  <si>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</si>
  <si>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</si>
  <si>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</si>
  <si>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</si>
  <si>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</si>
  <si>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</si>
  <si>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</si>
  <si>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</si>
  <si>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</si>
  <si>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</si>
  <si>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</si>
  <si>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</si>
  <si>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</si>
  <si>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</si>
  <si>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</si>
  <si>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</si>
  <si>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</si>
  <si>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</si>
  <si>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</si>
  <si>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</si>
  <si>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</si>
  <si>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</si>
  <si>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</si>
  <si>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</si>
  <si>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</si>
  <si>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</si>
  <si>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</si>
  <si>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</si>
  <si>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</si>
  <si>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</si>
  <si>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</si>
  <si>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</si>
  <si>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</si>
  <si>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</si>
  <si>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</si>
  <si>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</si>
  <si>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</si>
  <si>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</si>
  <si>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</si>
  <si>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</si>
  <si>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</si>
  <si>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</si>
  <si>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</si>
  <si>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</si>
  <si>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</si>
  <si>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</si>
  <si>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</si>
  <si>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</si>
  <si>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</si>
  <si>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</si>
  <si>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</si>
  <si>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</si>
  <si>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</si>
  <si>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</si>
  <si>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</si>
  <si>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</si>
  <si>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</si>
  <si>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</si>
  <si>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</si>
  <si>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</si>
  <si>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</si>
  <si>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</si>
  <si>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</si>
  <si>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</si>
  <si>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</si>
  <si>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</si>
  <si>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</si>
  <si>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</si>
  <si>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</si>
  <si>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</si>
  <si>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</si>
  <si>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</si>
  <si>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</si>
  <si>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</si>
  <si>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</si>
  <si>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</si>
  <si>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</si>
  <si>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</si>
  <si>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</si>
  <si>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</si>
  <si>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</si>
  <si>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</si>
  <si>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</si>
  <si>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</si>
  <si>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</si>
  <si>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</si>
  <si>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</si>
  <si>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</si>
  <si>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</si>
  <si>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</si>
  <si>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</si>
  <si>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</si>
  <si>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</si>
  <si>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</si>
  <si>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</si>
  <si>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</si>
  <si>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</si>
  <si>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</si>
  <si>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</si>
  <si>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</si>
  <si>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</si>
  <si>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</si>
  <si>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</si>
  <si>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</si>
  <si>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</si>
  <si>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</si>
  <si>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</si>
  <si>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</si>
  <si>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</si>
  <si>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</si>
  <si>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</si>
  <si>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</si>
  <si>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</si>
  <si>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</si>
  <si>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</si>
  <si>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</si>
  <si>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</si>
  <si>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</si>
  <si>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</si>
  <si>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</si>
  <si>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</si>
  <si>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</si>
  <si>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</si>
  <si>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</si>
  <si>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</si>
  <si>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</si>
  <si>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</si>
  <si>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</si>
  <si>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</si>
  <si>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</si>
  <si>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</si>
  <si>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</si>
  <si>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</si>
  <si>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</si>
  <si>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</si>
  <si>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</si>
  <si>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</si>
  <si>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</si>
  <si>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</si>
  <si>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</si>
  <si>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</si>
  <si>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</si>
  <si>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</si>
  <si>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</si>
  <si>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</si>
  <si>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</si>
  <si>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</si>
  <si>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</si>
  <si>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</si>
  <si>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</si>
  <si>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</si>
  <si>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</si>
  <si>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</si>
  <si>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</si>
  <si>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</si>
  <si>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</si>
  <si>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</si>
  <si>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</si>
  <si>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</si>
  <si>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</si>
  <si>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</si>
  <si>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</si>
  <si>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</si>
  <si>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</si>
  <si>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</si>
  <si>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</si>
  <si>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</si>
  <si>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</si>
  <si>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</si>
  <si>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</si>
  <si>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</si>
  <si>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</si>
  <si>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</si>
  <si>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</si>
  <si>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</si>
  <si>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</si>
  <si>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</si>
  <si>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</si>
  <si>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</si>
  <si>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</si>
  <si>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</si>
  <si>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</si>
  <si>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</si>
  <si>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</si>
  <si>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</si>
  <si>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</si>
  <si>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</si>
  <si>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</si>
  <si>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</si>
  <si>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</si>
  <si>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</si>
  <si>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</si>
  <si>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</si>
  <si>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</si>
  <si>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</si>
  <si>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</si>
  <si>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</si>
  <si>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</si>
  <si>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</si>
  <si>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</si>
  <si>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</si>
  <si>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</si>
  <si>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</si>
  <si>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</si>
  <si>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</si>
  <si>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</si>
  <si>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</si>
  <si>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</si>
  <si>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</si>
  <si>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</si>
  <si>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</si>
  <si>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</si>
  <si>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</si>
  <si>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</si>
  <si>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</si>
  <si>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</si>
  <si>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</si>
  <si>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</si>
  <si>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</si>
  <si>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</si>
  <si>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</si>
  <si>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</si>
  <si>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</si>
  <si>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</si>
  <si>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</si>
  <si>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</si>
  <si>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</si>
  <si>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</si>
  <si>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</si>
  <si>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</si>
  <si>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</si>
  <si>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</si>
  <si>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</si>
  <si>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</si>
  <si>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</si>
  <si>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</si>
  <si>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</si>
  <si>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</si>
  <si>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</si>
  <si>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</si>
  <si>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</si>
  <si>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</si>
  <si>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</si>
  <si>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</si>
  <si>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</si>
  <si>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</si>
  <si>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</si>
  <si>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</si>
  <si>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</si>
  <si>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</si>
  <si>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</si>
  <si>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</si>
  <si>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</si>
  <si>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</si>
  <si>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</si>
  <si>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</si>
  <si>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</si>
  <si>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</si>
  <si>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</si>
  <si>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</si>
  <si>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</si>
  <si>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</si>
  <si>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</si>
  <si>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</si>
  <si>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</si>
  <si>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</si>
  <si>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</si>
  <si>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</si>
  <si>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</si>
  <si>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</si>
  <si>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</si>
  <si>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</si>
  <si>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</si>
  <si>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</si>
  <si>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</si>
  <si>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</si>
  <si>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</si>
  <si>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</si>
  <si>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</si>
  <si>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</si>
  <si>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</si>
  <si>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</si>
  <si>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</si>
  <si>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</si>
  <si>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</si>
  <si>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</si>
  <si>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</si>
  <si>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</si>
  <si>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</si>
  <si>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</si>
  <si>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</si>
  <si>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</si>
  <si>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</si>
  <si>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</si>
  <si>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</si>
  <si>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</si>
  <si>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</si>
  <si>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</si>
  <si>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</si>
  <si>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</si>
  <si>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</si>
  <si>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</si>
  <si>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</si>
  <si>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</si>
  <si>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</si>
  <si>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</si>
  <si>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</si>
  <si>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</si>
  <si>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</si>
  <si>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</si>
  <si>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</si>
  <si>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</si>
  <si>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</si>
  <si>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</si>
  <si>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</si>
  <si>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</si>
  <si>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</si>
  <si>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</si>
  <si>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</si>
  <si>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</si>
  <si>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</si>
  <si>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</si>
  <si>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</si>
  <si>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</si>
  <si>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</si>
  <si>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</si>
  <si>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</si>
  <si>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</si>
  <si>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</si>
  <si>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</si>
  <si>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</si>
  <si>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</si>
  <si>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</si>
  <si>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</si>
  <si>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</si>
  <si>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</si>
  <si>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</si>
  <si>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</si>
  <si>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</si>
  <si>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</si>
  <si>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</si>
  <si>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</si>
  <si>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</si>
  <si>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</si>
  <si>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</si>
  <si>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</si>
  <si>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</si>
  <si>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</si>
  <si>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</si>
  <si>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</si>
  <si>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</si>
  <si>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</si>
  <si>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</si>
  <si>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</si>
  <si>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</si>
  <si>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</si>
  <si>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</si>
  <si>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</si>
  <si>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</si>
  <si>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</si>
  <si>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</si>
  <si>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</si>
  <si>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</si>
  <si>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</si>
  <si>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</si>
  <si>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</si>
  <si>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</si>
  <si>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</si>
  <si>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</si>
  <si>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</si>
  <si>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</si>
  <si>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</si>
  <si>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</si>
  <si>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</si>
  <si>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</si>
  <si>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</si>
  <si>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</si>
  <si>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</si>
  <si>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</si>
  <si>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</si>
  <si>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</si>
  <si>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</si>
  <si>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</si>
  <si>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</si>
  <si>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</si>
  <si>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</si>
  <si>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</si>
  <si>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</si>
  <si>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</si>
  <si>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</si>
  <si>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</si>
  <si>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</si>
  <si>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</si>
  <si>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</si>
  <si>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</si>
  <si>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</si>
  <si>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</si>
  <si>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</si>
  <si>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</si>
  <si>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</si>
  <si>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</si>
  <si>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</si>
  <si>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</si>
  <si>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</si>
  <si>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</si>
  <si>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</si>
  <si>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</si>
  <si>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</si>
  <si>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</si>
  <si>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</si>
  <si>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</si>
  <si>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</si>
  <si>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</si>
  <si>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</si>
  <si>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</si>
  <si>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</si>
  <si>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</si>
  <si>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</si>
  <si>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</si>
  <si>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</si>
  <si>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</si>
  <si>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</si>
  <si>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</si>
  <si>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</si>
  <si>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</si>
  <si>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</si>
  <si>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</si>
  <si>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</si>
  <si>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</si>
  <si>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</si>
  <si>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</si>
  <si>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</si>
  <si>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</si>
  <si>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</si>
  <si>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</si>
  <si>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</si>
  <si>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</si>
  <si>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</si>
  <si>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</si>
  <si>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</si>
  <si>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</si>
  <si>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</si>
  <si>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</si>
  <si>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</si>
  <si>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</si>
  <si>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</si>
  <si>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</si>
  <si>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</si>
  <si>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</si>
  <si>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</si>
  <si>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</si>
  <si>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</si>
  <si>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</si>
  <si>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</si>
  <si>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</si>
  <si>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</si>
  <si>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</si>
  <si>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</si>
  <si>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</si>
  <si>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</si>
  <si>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</si>
  <si>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</si>
  <si>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</si>
  <si>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</si>
  <si>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</si>
  <si>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</si>
  <si>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</si>
  <si>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</si>
  <si>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</si>
  <si>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</si>
  <si>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</si>
  <si>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</si>
  <si>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</si>
  <si>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</si>
  <si>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</si>
  <si>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</si>
  <si>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</si>
  <si>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</si>
  <si>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</si>
  <si>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</si>
  <si>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</si>
  <si>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</si>
  <si>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</si>
  <si>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</si>
  <si>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</si>
  <si>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</si>
  <si>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</si>
  <si>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</si>
  <si>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</si>
  <si>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</si>
  <si>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</si>
  <si>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</si>
  <si>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</si>
  <si>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</si>
  <si>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</si>
  <si>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</si>
  <si>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</si>
  <si>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</si>
  <si>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</si>
  <si>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</si>
  <si>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</si>
  <si>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</si>
  <si>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</si>
  <si>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</si>
  <si>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</si>
  <si>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</si>
  <si>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</si>
  <si>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</si>
  <si>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</si>
  <si>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</si>
  <si>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</si>
  <si>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</si>
  <si>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</si>
  <si>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</si>
  <si>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</si>
  <si>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</si>
  <si>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</si>
  <si>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</si>
  <si>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</si>
  <si>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</si>
  <si>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</si>
  <si>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</si>
  <si>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</si>
  <si>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</si>
  <si>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</si>
  <si>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</si>
  <si>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</si>
  <si>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</si>
  <si>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</si>
  <si>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</si>
  <si>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</si>
  <si>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</si>
  <si>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</si>
  <si>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</si>
  <si>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</si>
  <si>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</si>
  <si>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</si>
  <si>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</si>
  <si>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</si>
  <si>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</si>
  <si>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</si>
  <si>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</si>
  <si>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</si>
  <si>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</si>
  <si>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</si>
  <si>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</si>
  <si>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</si>
  <si>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</si>
  <si>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</si>
  <si>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</si>
  <si>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</si>
  <si>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</si>
  <si>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</si>
  <si>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</si>
  <si>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</si>
  <si>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</si>
  <si>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</si>
  <si>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</si>
  <si>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</si>
  <si>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</si>
  <si>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</si>
  <si>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</si>
  <si>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</si>
  <si>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</si>
  <si>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</si>
  <si>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</si>
  <si>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</si>
  <si>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</si>
  <si>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</si>
  <si>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</si>
  <si>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</si>
  <si>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</si>
  <si>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</si>
  <si>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</si>
  <si>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</si>
  <si>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</si>
  <si>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</si>
  <si>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</si>
  <si>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</si>
  <si>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</si>
  <si>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</si>
  <si>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</si>
  <si>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</si>
  <si>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</si>
  <si>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</si>
  <si>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</si>
  <si>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</si>
  <si>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</si>
  <si>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</si>
  <si>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</si>
  <si>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</si>
  <si>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</si>
  <si>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</si>
  <si>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</si>
  <si>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</si>
  <si>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</si>
  <si>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</si>
  <si>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</si>
  <si>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</si>
  <si>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</si>
  <si>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</si>
  <si>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</si>
  <si>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</si>
  <si>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</si>
  <si>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</si>
  <si>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</si>
  <si>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</si>
  <si>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</si>
  <si>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</si>
  <si>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</si>
  <si>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</si>
  <si>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</si>
  <si>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</si>
  <si>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</si>
  <si>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</si>
  <si>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</si>
  <si>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</si>
  <si>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</si>
  <si>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</si>
  <si>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</si>
  <si>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</si>
  <si>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</si>
  <si>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</si>
  <si>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</si>
  <si>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</si>
  <si>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</si>
  <si>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</si>
  <si>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</si>
  <si>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</si>
  <si>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</si>
  <si>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</si>
  <si>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</si>
  <si>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</si>
  <si>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</si>
  <si>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</si>
  <si>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</si>
  <si>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</si>
  <si>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</si>
  <si>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</si>
  <si>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</si>
  <si>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</si>
  <si>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</si>
  <si>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</si>
  <si>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</si>
  <si>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</si>
  <si>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</si>
  <si>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</si>
  <si>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</si>
  <si>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</si>
  <si>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</si>
  <si>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</si>
  <si>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</si>
  <si>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</si>
  <si>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</si>
  <si>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</si>
  <si>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</si>
  <si>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</si>
  <si>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</si>
  <si>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</si>
  <si>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</si>
  <si>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</si>
  <si>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</si>
  <si>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</si>
  <si>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</si>
  <si>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</si>
  <si>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</si>
  <si>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</si>
  <si>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</si>
  <si>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</si>
  <si>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</si>
  <si>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</si>
  <si>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</si>
  <si>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</si>
  <si>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</si>
  <si>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</si>
  <si>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</si>
  <si>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</si>
  <si>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</si>
  <si>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</si>
  <si>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</si>
  <si>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</si>
  <si>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</si>
  <si>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</si>
  <si>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</si>
  <si>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</si>
  <si>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</si>
  <si>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</si>
  <si>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</si>
  <si>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</si>
  <si>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</si>
  <si>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</si>
  <si>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</si>
  <si>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</si>
  <si>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</si>
  <si>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</si>
  <si>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</si>
  <si>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</si>
  <si>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</si>
  <si>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</si>
  <si>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</si>
  <si>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</si>
  <si>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</si>
  <si>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</si>
  <si>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</si>
  <si>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</si>
  <si>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</si>
  <si>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</si>
  <si>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</si>
  <si>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</si>
  <si>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</si>
  <si>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</si>
  <si>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</si>
  <si>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</si>
  <si>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</si>
  <si>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</si>
  <si>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</si>
  <si>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</si>
  <si>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</si>
  <si>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</si>
  <si>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</si>
  <si>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</si>
  <si>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</si>
  <si>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</si>
  <si>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</si>
  <si>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</si>
  <si>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</si>
  <si>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</si>
  <si>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</si>
  <si>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</si>
  <si>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</si>
  <si>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</si>
  <si>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</si>
  <si>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</si>
  <si>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</si>
  <si>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</si>
  <si>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</si>
  <si>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</si>
  <si>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</si>
  <si>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</si>
  <si>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</si>
  <si>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</si>
  <si>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</si>
  <si>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</si>
  <si>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</si>
  <si>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</si>
  <si>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</si>
  <si>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</si>
  <si>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</si>
  <si>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</si>
  <si>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</si>
  <si>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</si>
  <si>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</si>
  <si>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</si>
  <si>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</si>
  <si>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</si>
  <si>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</si>
  <si>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</si>
  <si>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</si>
  <si>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</si>
  <si>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</si>
  <si>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</si>
  <si>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</si>
  <si>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</si>
  <si>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</si>
  <si>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</si>
  <si>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</si>
  <si>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</si>
  <si>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</si>
  <si>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</si>
  <si>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</si>
  <si>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</si>
  <si>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</si>
  <si>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</si>
  <si>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</si>
  <si>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</si>
  <si>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</si>
  <si>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</si>
  <si>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</si>
  <si>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</si>
  <si>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</si>
  <si>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</si>
  <si>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</si>
  <si>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</si>
  <si>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</si>
  <si>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</si>
  <si>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</si>
  <si>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</si>
  <si>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</si>
  <si>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</si>
  <si>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</si>
  <si>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</si>
  <si>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</si>
  <si>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</si>
  <si>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</si>
  <si>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</si>
  <si>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</si>
  <si>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</si>
  <si>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</si>
  <si>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</si>
  <si>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</si>
  <si>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</si>
  <si>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</si>
  <si>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</si>
  <si>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</si>
  <si>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</si>
  <si>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</si>
  <si>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</si>
  <si>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</si>
  <si>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</si>
  <si>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</si>
  <si>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</si>
  <si>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</si>
  <si>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</si>
  <si>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</si>
  <si>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</si>
  <si>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</si>
  <si>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</si>
  <si>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</si>
  <si>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</si>
  <si>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</si>
  <si>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</si>
  <si>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</si>
  <si>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</si>
  <si>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</si>
  <si>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</si>
  <si>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</si>
  <si>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</si>
  <si>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</si>
  <si>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</si>
  <si>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</si>
  <si>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</si>
  <si>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</si>
  <si>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</si>
  <si>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</si>
  <si>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</si>
  <si>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</si>
  <si>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</si>
  <si>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</si>
  <si>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</si>
  <si>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</si>
  <si>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</si>
  <si>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</si>
  <si>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</si>
  <si>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</si>
  <si>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</si>
  <si>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</si>
  <si>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</si>
  <si>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</si>
  <si>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</si>
  <si>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</si>
  <si>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</si>
  <si>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</si>
  <si>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</si>
  <si>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</si>
  <si>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</si>
  <si>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</si>
  <si>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</si>
  <si>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</si>
  <si>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</si>
  <si>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</si>
  <si>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</si>
  <si>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</si>
  <si>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</si>
  <si>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</si>
  <si>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</si>
  <si>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</si>
  <si>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</si>
  <si>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</si>
  <si>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</si>
  <si>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</si>
  <si>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</si>
  <si>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</si>
  <si>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</si>
  <si>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</si>
  <si>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</si>
  <si>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</si>
  <si>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</si>
  <si>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</si>
  <si>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</si>
  <si>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</si>
  <si>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</si>
  <si>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</si>
  <si>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</si>
  <si>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</si>
  <si>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</si>
  <si>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</si>
  <si>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</si>
  <si>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</si>
  <si>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</si>
  <si>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</si>
  <si>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</si>
  <si>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</si>
  <si>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</si>
  <si>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</si>
  <si>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</si>
  <si>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</si>
  <si>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</si>
  <si>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</si>
  <si>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</si>
  <si>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</si>
  <si>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</si>
  <si>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</si>
  <si>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</si>
  <si>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</si>
  <si>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</si>
  <si>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</si>
  <si>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</si>
  <si>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</si>
  <si>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</si>
  <si>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</si>
  <si>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</si>
  <si>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</si>
  <si>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</si>
  <si>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</si>
  <si>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</si>
  <si>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</si>
  <si>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</si>
  <si>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</si>
  <si>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</si>
  <si>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</si>
  <si>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</si>
  <si>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</si>
  <si>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</si>
  <si>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</si>
  <si>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</si>
  <si>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</si>
  <si>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</si>
  <si>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</si>
  <si>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</si>
  <si>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</si>
  <si>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</si>
  <si>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</si>
  <si>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</si>
  <si>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</si>
  <si>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</si>
  <si>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</si>
  <si>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</si>
  <si>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</si>
  <si>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</si>
  <si>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</si>
  <si>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</si>
  <si>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</si>
  <si>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</si>
  <si>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</si>
  <si>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</si>
  <si>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</si>
  <si>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</si>
  <si>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</si>
  <si>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</si>
  <si>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</si>
  <si>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</si>
  <si>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</si>
  <si>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</si>
  <si>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</si>
  <si>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</si>
  <si>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</si>
  <si>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</si>
  <si>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</si>
  <si>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</si>
  <si>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</si>
  <si>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</si>
  <si>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</si>
  <si>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</si>
  <si>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</si>
  <si>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</si>
  <si>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</si>
  <si>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</si>
  <si>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</si>
  <si>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</si>
  <si>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</si>
  <si>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</si>
  <si>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</si>
  <si>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</si>
  <si>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</si>
  <si>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</si>
  <si>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</si>
  <si>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</si>
  <si>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</si>
  <si>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</si>
  <si>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</si>
  <si>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</si>
  <si>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</si>
  <si>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</si>
  <si>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</si>
  <si>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</si>
  <si>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</si>
  <si>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</si>
  <si>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</si>
  <si>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</si>
  <si>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</si>
  <si>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</si>
  <si>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</si>
  <si>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</si>
  <si>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</si>
  <si>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</si>
  <si>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</si>
  <si>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</si>
  <si>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</si>
  <si>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</si>
  <si>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</si>
  <si>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</si>
  <si>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</si>
  <si>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</si>
  <si>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</si>
  <si>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</si>
  <si>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</si>
  <si>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</si>
  <si>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</si>
  <si>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</si>
  <si>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</si>
  <si>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</si>
  <si>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</si>
  <si>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</si>
  <si>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</si>
  <si>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</si>
  <si>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</si>
  <si>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</si>
  <si>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</si>
  <si>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</si>
  <si>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</si>
  <si>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</si>
  <si>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</si>
  <si>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</si>
  <si>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</si>
  <si>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</si>
  <si>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</si>
  <si>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</si>
  <si>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</si>
  <si>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</si>
  <si>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</si>
  <si>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</si>
  <si>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</si>
  <si>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</si>
  <si>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</si>
  <si>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</si>
  <si>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</si>
  <si>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</si>
  <si>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</si>
  <si>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</si>
  <si>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</si>
  <si>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</si>
  <si>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</si>
  <si>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</si>
  <si>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</si>
  <si>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</si>
  <si>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</si>
  <si>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</si>
  <si>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</si>
  <si>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</si>
  <si>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</si>
  <si>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</si>
  <si>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</si>
  <si>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</si>
  <si>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</si>
  <si>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</si>
  <si>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</si>
  <si>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</si>
  <si>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</si>
  <si>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</si>
  <si>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</si>
  <si>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</si>
  <si>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</si>
  <si>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</si>
  <si>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</si>
  <si>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</si>
  <si>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</si>
  <si>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</si>
  <si>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</si>
  <si>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</si>
  <si>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</si>
  <si>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</si>
  <si>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</si>
  <si>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</si>
  <si>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</si>
  <si>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</si>
  <si>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</si>
  <si>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</si>
  <si>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</si>
  <si>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</si>
  <si>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</si>
  <si>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</si>
  <si>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</si>
  <si>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</si>
  <si>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</si>
  <si>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</si>
  <si>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</si>
  <si>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</si>
  <si>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</si>
  <si>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</si>
  <si>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</si>
  <si>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</si>
  <si>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</si>
  <si>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</si>
  <si>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</si>
  <si>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</si>
  <si>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</si>
  <si>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</si>
  <si>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</si>
  <si>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</si>
  <si>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</si>
  <si>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</si>
  <si>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</si>
  <si>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</si>
  <si>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</si>
  <si>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</si>
  <si>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</si>
  <si>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</si>
  <si>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</si>
  <si>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</si>
  <si>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</si>
  <si>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</si>
  <si>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</si>
  <si>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</si>
  <si>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</si>
  <si>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</si>
  <si>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</si>
  <si>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</si>
  <si>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</si>
  <si>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</si>
  <si>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</si>
  <si>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</si>
  <si>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</si>
  <si>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</si>
  <si>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</si>
  <si>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</si>
  <si>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</si>
  <si>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</si>
  <si>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</si>
  <si>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</si>
  <si>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</si>
  <si>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</si>
  <si>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</si>
  <si>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</si>
  <si>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</si>
  <si>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</si>
  <si>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</si>
  <si>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</si>
  <si>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</si>
  <si>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</si>
  <si>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</si>
  <si>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</si>
  <si>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</si>
  <si>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</si>
  <si>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</si>
  <si>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</si>
  <si>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</si>
  <si>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</si>
  <si>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</si>
  <si>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</si>
  <si>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</si>
  <si>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</si>
  <si>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</si>
  <si>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</si>
  <si>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</si>
  <si>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</si>
  <si>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</si>
  <si>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</si>
  <si>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</si>
  <si>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</si>
  <si>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</si>
  <si>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</si>
  <si>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</si>
  <si>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</si>
  <si>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</si>
  <si>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</si>
  <si>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</si>
  <si>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</si>
  <si>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</si>
  <si>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</si>
  <si>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</si>
  <si>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</si>
  <si>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</si>
  <si>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</si>
  <si>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</si>
  <si>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</si>
  <si>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</si>
  <si>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</si>
  <si>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</si>
  <si>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</si>
  <si>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</si>
  <si>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</si>
  <si>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</si>
  <si>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</si>
  <si>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</si>
  <si>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</si>
  <si>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</si>
  <si>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</si>
  <si>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</si>
  <si>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</si>
  <si>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</si>
  <si>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</si>
  <si>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</si>
  <si>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</si>
  <si>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</si>
  <si>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</si>
  <si>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</si>
  <si>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</si>
  <si>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</si>
  <si>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</si>
  <si>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</si>
  <si>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</si>
  <si>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</si>
  <si>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</si>
  <si>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</si>
  <si>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</si>
  <si>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</si>
  <si>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</si>
  <si>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</si>
  <si>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</si>
  <si>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</si>
  <si>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</si>
  <si>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</si>
  <si>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</si>
  <si>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</si>
  <si>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</si>
  <si>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</si>
  <si>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</si>
  <si>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</si>
  <si>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</si>
  <si>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</si>
  <si>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</si>
  <si>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</si>
  <si>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</si>
  <si>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</si>
  <si>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</si>
  <si>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</si>
  <si>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</si>
  <si>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</si>
  <si>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</si>
  <si>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</si>
  <si>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</si>
  <si>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</si>
  <si>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</si>
  <si>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</si>
  <si>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</si>
  <si>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</si>
  <si>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</si>
  <si>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</si>
  <si>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</si>
  <si>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</si>
  <si>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</si>
  <si>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</si>
  <si>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</si>
  <si>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</si>
  <si>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</si>
  <si>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</si>
  <si>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</si>
  <si>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</si>
  <si>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</si>
  <si>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</si>
  <si>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</si>
  <si>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</si>
  <si>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</si>
  <si>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</si>
  <si>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</si>
  <si>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</si>
  <si>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</si>
  <si>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</si>
  <si>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</si>
  <si>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</si>
  <si>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</si>
  <si>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</si>
  <si>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</si>
  <si>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</si>
  <si>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</si>
  <si>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</si>
  <si>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</si>
  <si>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</si>
  <si>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</si>
  <si>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</si>
  <si>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</si>
  <si>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</si>
  <si>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</si>
  <si>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</si>
  <si>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</si>
  <si>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</si>
  <si>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</si>
  <si>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</si>
  <si>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</si>
  <si>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</si>
  <si>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</si>
  <si>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</si>
  <si>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</si>
  <si>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</si>
  <si>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</si>
  <si>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</si>
  <si>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</si>
  <si>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</si>
  <si>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</si>
  <si>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</si>
  <si>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</si>
  <si>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</si>
  <si>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</si>
  <si>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</si>
  <si>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</si>
  <si>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</si>
  <si>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</si>
  <si>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</si>
  <si>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</si>
  <si>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</si>
  <si>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</si>
  <si>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</si>
  <si>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</si>
  <si>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</si>
  <si>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</si>
  <si>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</si>
  <si>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</si>
  <si>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</si>
  <si>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</si>
  <si>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</si>
  <si>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</si>
  <si>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</si>
  <si>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</si>
  <si>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</si>
  <si>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</si>
  <si>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</si>
  <si>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</si>
  <si>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</si>
  <si>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</si>
  <si>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</si>
  <si>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</si>
  <si>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</si>
  <si>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</si>
  <si>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</si>
  <si>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</si>
  <si>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</si>
  <si>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</si>
  <si>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</si>
  <si>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</si>
  <si>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</si>
  <si>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</si>
  <si>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</si>
  <si>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</si>
  <si>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</si>
  <si>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</si>
  <si>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</si>
  <si>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</si>
  <si>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</si>
  <si>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</si>
  <si>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</si>
  <si>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</si>
  <si>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</si>
  <si>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</si>
  <si>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</si>
  <si>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</si>
  <si>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</si>
  <si>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</si>
  <si>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</si>
  <si>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</si>
  <si>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</si>
  <si>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</si>
  <si>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</si>
  <si>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</si>
  <si>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</si>
  <si>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</si>
  <si>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</si>
  <si>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</si>
  <si>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</si>
  <si>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</si>
  <si>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</si>
  <si>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</si>
  <si>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</si>
  <si>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</si>
  <si>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</si>
  <si>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</si>
  <si>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</si>
  <si>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</si>
  <si>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</si>
  <si>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</si>
  <si>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</si>
  <si>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</si>
  <si>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</si>
  <si>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</si>
  <si>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</si>
  <si>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</si>
  <si>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</si>
  <si>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</si>
  <si>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</si>
  <si>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</si>
  <si>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</si>
  <si>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</si>
  <si>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</si>
  <si>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</si>
  <si>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</si>
  <si>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</si>
  <si>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</si>
  <si>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</si>
  <si>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</si>
  <si>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</si>
  <si>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</si>
  <si>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</si>
  <si>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</si>
  <si>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</si>
  <si>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</si>
  <si>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</si>
  <si>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</si>
  <si>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</si>
  <si>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</si>
  <si>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</si>
  <si>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</si>
  <si>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</si>
  <si>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</si>
  <si>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</si>
  <si>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</si>
  <si>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</si>
  <si>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</si>
  <si>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</si>
  <si>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</si>
  <si>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</si>
  <si>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</si>
  <si>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</si>
  <si>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</si>
  <si>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</si>
  <si>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</si>
  <si>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</si>
  <si>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</si>
  <si>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</si>
  <si>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</si>
  <si>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</si>
  <si>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</si>
  <si>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</si>
  <si>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</si>
  <si>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</si>
  <si>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</si>
  <si>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</si>
  <si>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</si>
  <si>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</si>
  <si>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</si>
  <si>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</si>
  <si>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</si>
  <si>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</si>
  <si>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</si>
  <si>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</si>
  <si>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</si>
  <si>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</si>
  <si>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</si>
  <si>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</si>
  <si>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</si>
  <si>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</si>
  <si>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</si>
  <si>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</si>
  <si>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</si>
  <si>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</si>
  <si>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</si>
  <si>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</si>
  <si>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</si>
  <si>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</si>
  <si>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</si>
  <si>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</si>
  <si>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</si>
  <si>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</si>
  <si>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</si>
  <si>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</si>
  <si>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</si>
  <si>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</si>
  <si>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</si>
  <si>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</si>
  <si>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</si>
  <si>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</si>
  <si>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</si>
  <si>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</si>
  <si>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</si>
  <si>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</si>
  <si>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</si>
  <si>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</si>
  <si>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</si>
  <si>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</si>
  <si>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</si>
  <si>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</si>
  <si>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</si>
  <si>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</si>
  <si>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</si>
  <si>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</si>
  <si>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</si>
  <si>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</si>
  <si>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</si>
  <si>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</si>
  <si>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</si>
  <si>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</si>
  <si>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</si>
  <si>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</si>
  <si>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</si>
  <si>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</si>
  <si>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</si>
  <si>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</si>
  <si>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</si>
  <si>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</si>
  <si>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</si>
  <si>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</si>
  <si>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</si>
  <si>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</si>
  <si>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</si>
  <si>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</si>
  <si>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</si>
  <si>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</si>
  <si>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</si>
  <si>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</si>
  <si>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</si>
  <si>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</si>
  <si>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</si>
  <si>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</si>
  <si>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</si>
  <si>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</si>
  <si>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</si>
  <si>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</si>
  <si>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</si>
  <si>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</si>
  <si>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</si>
  <si>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</si>
  <si>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</si>
  <si>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</si>
  <si>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</si>
  <si>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</si>
  <si>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</si>
  <si>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</si>
  <si>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</si>
  <si>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</si>
  <si>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</si>
  <si>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</si>
  <si>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</si>
  <si>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</si>
  <si>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</si>
  <si>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</si>
  <si>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</si>
  <si>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</si>
  <si>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</si>
  <si>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</si>
  <si>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</si>
  <si>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</si>
  <si>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</si>
  <si>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</si>
  <si>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</si>
  <si>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</si>
  <si>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</si>
  <si>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</si>
  <si>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</si>
  <si>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</si>
  <si>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</si>
  <si>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</si>
  <si>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</si>
  <si>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</si>
  <si>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</si>
  <si>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</si>
  <si>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</si>
  <si>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</si>
  <si>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</si>
  <si>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</si>
  <si>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</si>
  <si>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</si>
  <si>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</si>
  <si>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</si>
  <si>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</si>
  <si>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</si>
  <si>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</si>
  <si>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</si>
  <si>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</si>
  <si>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</si>
  <si>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</si>
  <si>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</si>
  <si>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</si>
  <si>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</si>
  <si>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</si>
  <si>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</si>
  <si>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</si>
  <si>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</si>
  <si>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</si>
  <si>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</si>
  <si>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</si>
  <si>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</si>
  <si>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</si>
  <si>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</si>
  <si>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</si>
  <si>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</si>
  <si>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</si>
  <si>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</si>
  <si>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</si>
  <si>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</si>
  <si>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</si>
  <si>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</si>
  <si>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</si>
  <si>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</si>
  <si>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</si>
  <si>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</si>
  <si>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</si>
  <si>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</si>
  <si>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</si>
  <si>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</si>
  <si>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</si>
  <si>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</si>
  <si>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</si>
  <si>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</si>
  <si>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</si>
  <si>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</si>
  <si>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</si>
  <si>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</si>
  <si>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</si>
  <si>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</si>
  <si>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</si>
  <si>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</si>
  <si>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</si>
  <si>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</si>
  <si>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</si>
  <si>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</si>
  <si>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</si>
  <si>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</si>
  <si>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</si>
  <si>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</si>
  <si>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</si>
  <si>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</si>
  <si>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</si>
  <si>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</si>
  <si>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</si>
  <si>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</si>
  <si>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</si>
  <si>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</si>
  <si>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</si>
  <si>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</si>
  <si>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</si>
  <si>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</si>
  <si>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</si>
  <si>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</si>
  <si>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</si>
  <si>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</si>
  <si>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</si>
  <si>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</si>
  <si>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</si>
  <si>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</si>
  <si>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</si>
  <si>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</si>
  <si>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</si>
  <si>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</si>
  <si>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</si>
  <si>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</si>
  <si>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</si>
  <si>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</si>
  <si>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</si>
  <si>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</si>
  <si>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</si>
  <si>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</si>
  <si>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</si>
  <si>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</si>
  <si>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</si>
  <si>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</si>
  <si>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</si>
  <si>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</si>
  <si>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</si>
  <si>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</si>
  <si>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</si>
  <si>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</si>
  <si>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</si>
  <si>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</si>
  <si>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</si>
  <si>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</si>
  <si>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</si>
  <si>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</si>
  <si>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</si>
  <si>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</si>
  <si>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</si>
  <si>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</si>
  <si>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</si>
  <si>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</si>
  <si>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</si>
  <si>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</si>
  <si>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</si>
  <si>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</si>
  <si>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</si>
  <si>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</si>
  <si>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</si>
  <si>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</si>
  <si>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</si>
  <si>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</si>
  <si>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</si>
  <si>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</si>
  <si>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</si>
  <si>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</si>
  <si>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</si>
  <si>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</si>
  <si>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</si>
  <si>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</si>
  <si>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</si>
  <si>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</si>
  <si>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</si>
  <si>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</si>
  <si>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</si>
  <si>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</si>
  <si>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</si>
  <si>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</si>
  <si>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</si>
  <si>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</si>
  <si>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</si>
  <si>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</si>
  <si>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</si>
  <si>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</si>
  <si>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</si>
  <si>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</si>
  <si>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</si>
  <si>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</si>
  <si>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</si>
  <si>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</si>
  <si>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</si>
  <si>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</si>
  <si>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</si>
  <si>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</si>
  <si>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</si>
  <si>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</si>
  <si>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</si>
  <si>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</si>
  <si>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</si>
  <si>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</si>
  <si>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</si>
  <si>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</si>
  <si>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</si>
  <si>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</si>
  <si>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</si>
  <si>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</si>
  <si>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</si>
  <si>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</si>
  <si>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</si>
  <si>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</si>
  <si>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</si>
  <si>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</si>
  <si>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</si>
  <si>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</si>
  <si>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</si>
  <si>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</si>
  <si>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</si>
  <si>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</si>
  <si>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</si>
  <si>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</si>
  <si>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</si>
  <si>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</si>
  <si>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</si>
  <si>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</si>
  <si>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</si>
  <si>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</si>
  <si>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</si>
  <si>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</si>
  <si>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</si>
  <si>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</si>
  <si>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</si>
  <si>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</si>
  <si>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</si>
  <si>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</si>
  <si>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</si>
  <si>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</si>
  <si>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</si>
  <si>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</si>
  <si>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</si>
  <si>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</si>
  <si>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</si>
  <si>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</si>
  <si>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</si>
  <si>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</si>
  <si>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</si>
  <si>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</si>
  <si>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</si>
  <si>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</si>
  <si>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</si>
  <si>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</si>
  <si>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</si>
  <si>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</si>
  <si>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</si>
  <si>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</si>
  <si>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</si>
  <si>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</si>
  <si>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</si>
  <si>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</si>
  <si>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</si>
  <si>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</si>
  <si>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</si>
  <si>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</si>
  <si>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</si>
  <si>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</si>
  <si>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</si>
  <si>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</si>
  <si>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</si>
  <si>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</si>
  <si>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</si>
  <si>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</si>
  <si>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</si>
  <si>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</si>
  <si>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</si>
  <si>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</si>
  <si>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</si>
  <si>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</si>
  <si>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</si>
  <si>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</si>
  <si>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</si>
  <si>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</si>
  <si>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</si>
  <si>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</si>
  <si>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</si>
  <si>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</si>
  <si>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</si>
  <si>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</si>
  <si>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</si>
  <si>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</si>
  <si>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</si>
  <si>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</si>
  <si>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</si>
  <si>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</si>
  <si>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</si>
  <si>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</si>
  <si>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</si>
  <si>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</si>
  <si>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</si>
  <si>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</si>
  <si>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</si>
  <si>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</si>
  <si>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</si>
  <si>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</si>
  <si>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</si>
  <si>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</si>
  <si>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</si>
  <si>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</si>
  <si>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</si>
  <si>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</si>
  <si>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</si>
  <si>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</si>
  <si>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</si>
  <si>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</si>
  <si>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</si>
  <si>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</si>
  <si>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</si>
  <si>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</si>
  <si>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</si>
  <si>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</si>
  <si>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</si>
  <si>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</si>
  <si>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</si>
  <si>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</si>
  <si>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</si>
  <si>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</si>
  <si>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</si>
  <si>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</si>
  <si>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</si>
  <si>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</si>
  <si>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</si>
  <si>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</si>
  <si>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</si>
  <si>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</si>
  <si>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</si>
  <si>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</si>
  <si>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</si>
  <si>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</si>
  <si>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</si>
  <si>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</si>
  <si>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</si>
  <si>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</si>
  <si>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</si>
  <si>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</si>
  <si>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</si>
  <si>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</si>
  <si>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</si>
  <si>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</si>
  <si>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</si>
  <si>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</si>
  <si>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</si>
  <si>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</si>
  <si>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</si>
  <si>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</si>
  <si>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</si>
  <si>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</si>
  <si>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</si>
  <si>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</si>
  <si>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</si>
  <si>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</si>
  <si>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</si>
  <si>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</si>
  <si>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</si>
  <si>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</si>
  <si>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</si>
  <si>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</si>
  <si>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</si>
  <si>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</si>
  <si>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</si>
  <si>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</si>
  <si>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</si>
  <si>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</si>
  <si>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</si>
  <si>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</si>
  <si>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</si>
  <si>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</si>
  <si>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</si>
  <si>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</si>
  <si>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</si>
  <si>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</si>
  <si>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</si>
  <si>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</si>
  <si>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</si>
  <si>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</si>
  <si>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</si>
  <si>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</si>
  <si>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</si>
  <si>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</si>
  <si>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</si>
  <si>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</si>
  <si>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</si>
  <si>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</si>
  <si>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</si>
  <si>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</si>
  <si>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</si>
  <si>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</si>
  <si>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</si>
  <si>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</si>
  <si>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</si>
  <si>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</si>
  <si>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</si>
  <si>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</si>
  <si>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</si>
  <si>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</si>
  <si>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</si>
  <si>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</si>
  <si>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</si>
  <si>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</si>
  <si>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</si>
  <si>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</si>
  <si>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</si>
  <si>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</si>
  <si>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</si>
  <si>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</si>
  <si>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</si>
  <si>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</si>
  <si>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</si>
  <si>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</si>
  <si>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</si>
  <si>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</si>
  <si>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</si>
  <si>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</si>
  <si>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</si>
  <si>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</si>
  <si>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</si>
  <si>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</si>
  <si>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</si>
  <si>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</si>
  <si>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</si>
  <si>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</si>
  <si>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</si>
  <si>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</si>
  <si>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</si>
  <si>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</si>
  <si>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</si>
  <si>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</si>
  <si>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</si>
  <si>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</si>
  <si>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</si>
  <si>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</si>
  <si>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</si>
  <si>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</si>
  <si>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</si>
  <si>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</si>
  <si>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</si>
  <si>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</si>
  <si>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</si>
  <si>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</si>
  <si>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</si>
  <si>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</si>
  <si>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</si>
  <si>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</si>
  <si>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</si>
  <si>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</si>
  <si>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</si>
  <si>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</si>
  <si>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</si>
  <si>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</si>
  <si>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</si>
  <si>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</si>
  <si>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</si>
  <si>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</si>
  <si>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</si>
  <si>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</si>
  <si>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</si>
  <si>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</si>
  <si>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</si>
  <si>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</si>
  <si>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</si>
  <si>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</si>
  <si>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</si>
  <si>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</si>
  <si>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</si>
  <si>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</si>
  <si>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</si>
  <si>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</si>
  <si>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</si>
  <si>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</si>
  <si>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</si>
  <si>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</si>
  <si>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</si>
  <si>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</si>
  <si>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</si>
  <si>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</si>
  <si>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</si>
  <si>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</si>
  <si>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</si>
  <si>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</si>
  <si>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</si>
  <si>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</si>
  <si>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</si>
  <si>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</si>
  <si>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</si>
  <si>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</si>
  <si>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</si>
  <si>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</si>
  <si>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</si>
  <si>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</si>
  <si>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</si>
  <si>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</si>
  <si>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</si>
  <si>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</si>
  <si>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</si>
  <si>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</si>
  <si>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</si>
  <si>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</si>
  <si>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</si>
  <si>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</si>
  <si>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</si>
  <si>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</si>
  <si>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</si>
  <si>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</si>
  <si>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</si>
  <si>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</si>
  <si>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</si>
  <si>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</si>
  <si>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</si>
  <si>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</si>
  <si>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</si>
  <si>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</si>
  <si>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</si>
  <si>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</si>
  <si>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</si>
  <si>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</si>
  <si>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</si>
  <si>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</si>
  <si>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</si>
  <si>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</si>
  <si>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</si>
  <si>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</si>
  <si>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</si>
  <si>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</si>
  <si>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</si>
  <si>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</si>
  <si>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</si>
  <si>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</si>
  <si>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</si>
  <si>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</si>
  <si>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</si>
  <si>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</si>
  <si>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</si>
  <si>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</si>
  <si>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</si>
  <si>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</si>
  <si>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</si>
  <si>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</si>
  <si>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</si>
  <si>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</si>
  <si>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</si>
  <si>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</si>
  <si>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</si>
  <si>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</si>
  <si>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</si>
  <si>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</si>
  <si>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</si>
  <si>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</si>
  <si>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</si>
  <si>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</si>
  <si>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</si>
  <si>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</si>
  <si>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</si>
  <si>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</si>
  <si>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</si>
  <si>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</si>
  <si>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</si>
  <si>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</si>
  <si>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</si>
  <si>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</si>
  <si>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</si>
  <si>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</si>
  <si>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</si>
  <si>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</si>
  <si>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</si>
  <si>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</si>
  <si>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</si>
  <si>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</si>
  <si>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</si>
  <si>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</si>
  <si>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</si>
  <si>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</si>
  <si>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</si>
  <si>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</si>
  <si>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</si>
  <si>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</si>
  <si>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</si>
  <si>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</si>
  <si>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</si>
  <si>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</si>
  <si>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</si>
  <si>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</si>
  <si>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</si>
  <si>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</si>
  <si>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</si>
  <si>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</si>
  <si>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</si>
  <si>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</si>
  <si>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</si>
  <si>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</si>
  <si>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</si>
  <si>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</si>
  <si>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</si>
  <si>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</si>
  <si>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</si>
  <si>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</si>
  <si>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</si>
  <si>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</si>
  <si>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</si>
  <si>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</si>
  <si>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</si>
  <si>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</si>
  <si>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</si>
  <si>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</si>
  <si>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</si>
  <si>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</si>
  <si>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</si>
  <si>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</si>
  <si>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</si>
  <si>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</si>
  <si>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</si>
  <si>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</si>
  <si>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</si>
  <si>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</si>
  <si>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</si>
  <si>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</si>
  <si>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</si>
  <si>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</si>
  <si>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</si>
  <si>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</si>
  <si>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</si>
  <si>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</si>
  <si>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</si>
  <si>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</si>
  <si>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</si>
  <si>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</si>
  <si>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</si>
  <si>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</si>
  <si>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</si>
  <si>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</si>
  <si>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</si>
  <si>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</si>
  <si>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</si>
  <si>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</si>
  <si>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</si>
  <si>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</si>
  <si>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</si>
  <si>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</si>
  <si>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</si>
  <si>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</si>
  <si>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</si>
  <si>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</si>
  <si>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</si>
  <si>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</si>
  <si>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</si>
  <si>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</si>
  <si>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</si>
  <si>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</si>
  <si>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</si>
  <si>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</si>
  <si>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</si>
  <si>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</si>
  <si>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</si>
  <si>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</si>
  <si>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</si>
  <si>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</si>
  <si>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</si>
  <si>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</si>
  <si>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</si>
  <si>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</si>
  <si>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</si>
  <si>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</si>
  <si>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</si>
  <si>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</si>
  <si>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</si>
  <si>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</si>
  <si>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</si>
  <si>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</si>
  <si>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</si>
  <si>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</si>
  <si>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</si>
  <si>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</si>
  <si>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</si>
  <si>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</si>
  <si>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</si>
  <si>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</si>
  <si>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</si>
  <si>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</si>
  <si>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</si>
  <si>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</si>
  <si>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</si>
  <si>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</si>
  <si>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</si>
  <si>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</si>
  <si>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</si>
  <si>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</si>
  <si>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</si>
  <si>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</si>
  <si>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</si>
  <si>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</si>
  <si>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</si>
  <si>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</si>
  <si>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</si>
  <si>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</si>
  <si>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</si>
  <si>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</si>
  <si>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</si>
  <si>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</si>
  <si>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</si>
  <si>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</si>
  <si>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</si>
  <si>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</si>
  <si>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</si>
  <si>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</si>
  <si>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</si>
  <si>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</si>
  <si>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</si>
  <si>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</si>
  <si>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</si>
  <si>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</si>
  <si>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</si>
  <si>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</si>
  <si>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</si>
  <si>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</si>
  <si>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</si>
  <si>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</si>
  <si>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</si>
  <si>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</si>
  <si>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</si>
  <si>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</si>
  <si>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</si>
  <si>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</si>
  <si>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</si>
  <si>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</si>
  <si>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</si>
  <si>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</si>
  <si>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</si>
  <si>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</si>
  <si>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</si>
  <si>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</si>
  <si>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</si>
  <si>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</si>
  <si>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</si>
  <si>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</si>
  <si>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</si>
  <si>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</si>
  <si>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</si>
  <si>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</si>
  <si>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</si>
  <si>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</si>
  <si>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</si>
  <si>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</si>
  <si>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</si>
  <si>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</si>
  <si>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</si>
  <si>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</si>
  <si>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</si>
  <si>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</si>
  <si>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</si>
  <si>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</si>
  <si>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</si>
  <si>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</si>
  <si>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</si>
  <si>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</si>
  <si>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</si>
  <si>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</si>
  <si>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</si>
  <si>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</si>
  <si>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</si>
  <si>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</si>
  <si>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</si>
  <si>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</si>
  <si>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</si>
  <si>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</si>
  <si>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</si>
  <si>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</si>
  <si>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</si>
  <si>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</si>
  <si>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</si>
  <si>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</si>
  <si>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</si>
  <si>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</si>
  <si>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</si>
  <si>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</si>
  <si>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</si>
  <si>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</si>
  <si>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</si>
  <si>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</si>
  <si>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</si>
  <si>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</si>
  <si>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</si>
  <si>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</si>
  <si>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</si>
  <si>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</si>
  <si>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</si>
  <si>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</si>
  <si>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</si>
  <si>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</si>
  <si>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</si>
  <si>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</si>
  <si>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</si>
  <si>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</si>
  <si>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</si>
  <si>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</si>
  <si>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</si>
  <si>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</si>
  <si>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</si>
  <si>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</si>
  <si>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</si>
  <si>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</si>
  <si>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</si>
  <si>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</si>
  <si>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</si>
  <si>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</si>
  <si>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</si>
  <si>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</si>
  <si>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</si>
  <si>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</si>
  <si>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</si>
  <si>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</si>
  <si>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</si>
  <si>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</si>
  <si>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</si>
  <si>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</si>
  <si>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</si>
  <si>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</si>
  <si>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</si>
  <si>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</si>
  <si>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</si>
  <si>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</si>
  <si>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</si>
  <si>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</si>
  <si>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</si>
  <si>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</si>
  <si>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</si>
  <si>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</si>
  <si>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</si>
  <si>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</si>
  <si>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</si>
  <si>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</si>
  <si>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</si>
  <si>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</si>
  <si>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</si>
  <si>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</si>
  <si>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</si>
  <si>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</si>
  <si>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</si>
  <si>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</si>
  <si>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</si>
  <si>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</si>
  <si>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</si>
  <si>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</si>
  <si>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</si>
  <si>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</si>
  <si>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</si>
  <si>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</si>
  <si>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</si>
  <si>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</si>
  <si>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</si>
  <si>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</si>
  <si>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</si>
  <si>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</si>
  <si>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</si>
  <si>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</si>
  <si>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</si>
  <si>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</si>
  <si>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</si>
  <si>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</si>
  <si>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</si>
  <si>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</si>
  <si>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</si>
  <si>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</si>
  <si>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</si>
  <si>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</si>
  <si>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</si>
  <si>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</si>
  <si>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</si>
  <si>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</si>
  <si>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</si>
  <si>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</si>
  <si>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</si>
  <si>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</si>
  <si>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</si>
  <si>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</si>
  <si>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</si>
  <si>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</si>
  <si>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</si>
  <si>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</si>
  <si>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</si>
  <si>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</si>
  <si>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</si>
  <si>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</si>
  <si>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</si>
  <si>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</si>
  <si>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</si>
  <si>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</si>
  <si>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</si>
  <si>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</si>
  <si>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</si>
  <si>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</si>
  <si>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</si>
  <si>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</si>
  <si>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</si>
  <si>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</si>
  <si>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</si>
  <si>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</si>
  <si>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</si>
  <si>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</si>
  <si>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</si>
  <si>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</si>
  <si>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</si>
  <si>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</si>
  <si>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</si>
  <si>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</si>
  <si>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</si>
  <si>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</si>
  <si>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</si>
  <si>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</si>
  <si>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</si>
  <si>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</si>
  <si>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</si>
  <si>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</si>
  <si>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</si>
  <si>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</si>
  <si>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</si>
  <si>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</si>
  <si>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</si>
  <si>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</si>
  <si>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</si>
  <si>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</si>
  <si>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</si>
  <si>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</si>
  <si>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</si>
  <si>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</si>
  <si>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</si>
  <si>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</si>
  <si>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</si>
  <si>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</si>
  <si>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</si>
  <si>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</si>
  <si>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</si>
  <si>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</si>
  <si>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</si>
  <si>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</si>
  <si>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</si>
  <si>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</si>
  <si>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</si>
  <si>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</si>
  <si>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</si>
  <si>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</si>
  <si>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</si>
  <si>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</si>
  <si>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</si>
  <si>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</si>
  <si>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</si>
  <si>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</si>
  <si>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</si>
  <si>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</si>
  <si>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</si>
  <si>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</si>
  <si>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</si>
  <si>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</si>
  <si>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</si>
  <si>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</si>
  <si>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</si>
  <si>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</si>
  <si>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</si>
  <si>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</si>
  <si>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</si>
  <si>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</si>
  <si>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</si>
  <si>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</si>
  <si>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</si>
  <si>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</si>
  <si>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</si>
  <si>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</si>
  <si>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</si>
  <si>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</si>
  <si>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</si>
  <si>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</si>
  <si>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</si>
  <si>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</si>
  <si>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</si>
  <si>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</si>
  <si>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</si>
  <si>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</si>
  <si>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</si>
  <si>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</si>
  <si>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</si>
  <si>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</si>
  <si>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</si>
  <si>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</si>
  <si>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</si>
  <si>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</si>
  <si>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</si>
  <si>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</si>
  <si>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</si>
  <si>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</si>
  <si>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</si>
  <si>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</si>
  <si>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</si>
  <si>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</si>
  <si>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</si>
  <si>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</si>
  <si>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</si>
  <si>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</si>
  <si>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</si>
  <si>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</si>
  <si>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</si>
  <si>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</si>
  <si>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</si>
  <si>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</si>
  <si>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</si>
  <si>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</si>
  <si>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</si>
  <si>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</si>
  <si>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</si>
  <si>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</si>
  <si>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</si>
  <si>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</si>
  <si>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</si>
  <si>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</si>
  <si>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</si>
  <si>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</si>
  <si>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</si>
  <si>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</si>
  <si>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</si>
  <si>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</si>
  <si>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</si>
  <si>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</si>
  <si>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</si>
  <si>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</si>
  <si>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</si>
  <si>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</si>
  <si>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</si>
  <si>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</si>
  <si>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</si>
  <si>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</si>
  <si>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</si>
  <si>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</si>
  <si>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</si>
  <si>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</si>
  <si>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</si>
  <si>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</si>
  <si>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</si>
  <si>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</si>
  <si>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</si>
  <si>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</si>
  <si>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</si>
  <si>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</si>
  <si>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</si>
  <si>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</si>
  <si>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</si>
  <si>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</si>
  <si>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</si>
  <si>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</si>
  <si>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</si>
  <si>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</si>
  <si>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</si>
  <si>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</si>
  <si>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</si>
  <si>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</si>
  <si>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</si>
  <si>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</si>
  <si>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</si>
  <si>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</si>
  <si>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</si>
  <si>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</si>
  <si>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</si>
  <si>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</si>
  <si>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</si>
  <si>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</si>
  <si>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</si>
  <si>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</si>
  <si>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</si>
  <si>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</si>
  <si>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</si>
  <si>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</si>
  <si>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</si>
  <si>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</si>
  <si>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</si>
  <si>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</si>
  <si>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</si>
  <si>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</si>
  <si>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</si>
  <si>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</si>
  <si>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</si>
  <si>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</si>
  <si>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</si>
  <si>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</si>
  <si>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</si>
  <si>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</si>
  <si>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</si>
  <si>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</si>
  <si>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</si>
  <si>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</si>
  <si>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</si>
  <si>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</si>
  <si>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</si>
  <si>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</si>
  <si>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</si>
  <si>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</si>
  <si>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</si>
  <si>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</si>
  <si>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</si>
  <si>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</si>
  <si>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</si>
  <si>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</si>
  <si>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</si>
  <si>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</si>
  <si>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</si>
  <si>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</si>
  <si>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</si>
  <si>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</si>
  <si>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</si>
  <si>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</si>
  <si>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</si>
  <si>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</si>
  <si>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</si>
  <si>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</si>
  <si>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</si>
  <si>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</si>
  <si>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</si>
  <si>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</si>
  <si>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</si>
  <si>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</si>
  <si>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</si>
  <si>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</si>
  <si>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</si>
  <si>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</si>
  <si>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</si>
  <si>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</si>
  <si>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</si>
  <si>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</si>
  <si>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</si>
  <si>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</si>
  <si>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</si>
  <si>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</si>
  <si>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</si>
  <si>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</si>
  <si>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</si>
  <si>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</si>
  <si>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</si>
  <si>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</si>
  <si>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</si>
  <si>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</si>
  <si>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</si>
  <si>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</si>
  <si>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</si>
  <si>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</si>
  <si>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</si>
  <si>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</si>
  <si>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</si>
  <si>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</si>
  <si>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</si>
  <si>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</si>
  <si>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</si>
  <si>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</si>
  <si>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</si>
  <si>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</si>
  <si>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</si>
  <si>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</si>
  <si>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</si>
  <si>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</si>
  <si>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</si>
  <si>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</si>
  <si>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</si>
  <si>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</si>
  <si>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</si>
  <si>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</si>
  <si>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</si>
  <si>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</si>
  <si>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</si>
  <si>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</si>
  <si>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</si>
  <si>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</si>
  <si>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</si>
  <si>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</si>
  <si>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</si>
  <si>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</si>
  <si>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</si>
  <si>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</si>
  <si>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</si>
  <si>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</si>
  <si>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</si>
  <si>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</si>
  <si>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</si>
  <si>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</si>
  <si>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</si>
  <si>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</si>
  <si>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</si>
  <si>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</si>
  <si>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</si>
  <si>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</si>
  <si>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</si>
  <si>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</si>
  <si>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</si>
  <si>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</si>
  <si>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</si>
  <si>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</si>
  <si>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</si>
  <si>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</si>
  <si>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</si>
  <si>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</si>
  <si>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</si>
  <si>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</si>
  <si>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</si>
  <si>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</si>
  <si>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</si>
  <si>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</si>
  <si>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</si>
  <si>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</si>
  <si>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</si>
  <si>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</si>
  <si>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</si>
  <si>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</si>
  <si>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</si>
  <si>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</si>
  <si>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</si>
  <si>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</si>
  <si>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</si>
  <si>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</si>
  <si>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</si>
  <si>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</si>
  <si>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</si>
  <si>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</si>
  <si>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</si>
  <si>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</si>
  <si>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</si>
  <si>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</si>
  <si>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</si>
  <si>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</si>
  <si>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</si>
  <si>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</si>
  <si>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</si>
  <si>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</si>
  <si>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</si>
  <si>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</si>
  <si>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</si>
  <si>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</si>
  <si>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</si>
  <si>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</si>
  <si>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</si>
  <si>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</si>
  <si>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</si>
  <si>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</si>
  <si>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</si>
  <si>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</si>
  <si>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</si>
  <si>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</si>
  <si>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</si>
  <si>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</si>
  <si>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</si>
  <si>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</si>
  <si>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</si>
  <si>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</si>
  <si>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</si>
  <si>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</si>
  <si>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</si>
  <si>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</si>
  <si>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</si>
  <si>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</si>
  <si>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</si>
  <si>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</si>
  <si>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</si>
  <si>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</si>
  <si>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</si>
  <si>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</si>
  <si>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</si>
  <si>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</si>
  <si>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</si>
  <si>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</si>
  <si>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</si>
  <si>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</si>
  <si>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</si>
  <si>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</si>
  <si>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</si>
  <si>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</si>
  <si>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</si>
  <si>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</si>
  <si>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</si>
  <si>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</si>
  <si>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</si>
  <si>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</si>
  <si>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</si>
  <si>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</si>
  <si>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</si>
  <si>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</si>
  <si>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</si>
  <si>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</si>
  <si>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</si>
  <si>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</si>
  <si>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</si>
  <si>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</si>
  <si>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</si>
  <si>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</si>
  <si>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</si>
  <si>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</si>
  <si>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</si>
  <si>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</si>
  <si>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</si>
  <si>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</si>
  <si>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</si>
  <si>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</si>
  <si>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</si>
  <si>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</si>
  <si>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</si>
  <si>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</si>
  <si>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</si>
  <si>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</si>
  <si>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</si>
  <si>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</si>
  <si>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</si>
  <si>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</si>
  <si>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</si>
  <si>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</si>
  <si>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</si>
  <si>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</si>
  <si>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</si>
  <si>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</si>
  <si>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</si>
  <si>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</si>
  <si>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</si>
  <si>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</si>
  <si>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</si>
  <si>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</si>
  <si>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</si>
  <si>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</si>
  <si>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</si>
  <si>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</si>
  <si>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</si>
  <si>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</si>
  <si>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</si>
  <si>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</si>
  <si>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</si>
  <si>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</si>
  <si>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</si>
  <si>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</si>
  <si>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</si>
  <si>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</si>
  <si>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</si>
  <si>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</si>
  <si>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</si>
  <si>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</si>
  <si>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</si>
  <si>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</si>
  <si>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</si>
  <si>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</si>
  <si>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</si>
  <si>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</si>
  <si>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</si>
  <si>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</si>
  <si>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</si>
  <si>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</si>
  <si>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</si>
  <si>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</si>
  <si>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</si>
  <si>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</si>
  <si>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</si>
  <si>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</si>
  <si>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</si>
  <si>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</si>
  <si>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</si>
  <si>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</si>
  <si>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</si>
  <si>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</si>
  <si>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</si>
  <si>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</si>
  <si>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</si>
  <si>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</si>
  <si>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</si>
  <si>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</si>
  <si>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</si>
  <si>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</si>
  <si>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</si>
  <si>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</si>
  <si>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</si>
  <si>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</si>
  <si>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</si>
  <si>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</si>
  <si>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</si>
  <si>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</si>
  <si>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</si>
  <si>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</si>
  <si>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</si>
  <si>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</si>
  <si>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</si>
  <si>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</si>
  <si>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</si>
  <si>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</si>
  <si>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</si>
  <si>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</si>
  <si>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</si>
  <si>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</si>
  <si>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</si>
  <si>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</si>
  <si>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</si>
  <si>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</si>
  <si>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</si>
  <si>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</si>
  <si>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</si>
  <si>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</si>
  <si>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</si>
  <si>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</si>
  <si>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</si>
  <si>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</si>
  <si>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</si>
  <si>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</si>
  <si>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</si>
  <si>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</si>
  <si>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</si>
  <si>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</si>
  <si>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</si>
  <si>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</si>
  <si>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</si>
  <si>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</si>
  <si>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</si>
  <si>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</si>
  <si>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</si>
  <si>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</si>
  <si>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</si>
  <si>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</si>
  <si>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</si>
  <si>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</si>
  <si>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</si>
  <si>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</si>
  <si>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</si>
  <si>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</si>
  <si>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</si>
  <si>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</si>
  <si>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</si>
  <si>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</si>
  <si>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</si>
  <si>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</si>
  <si>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</si>
  <si>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</si>
  <si>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</si>
  <si>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</si>
  <si>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</si>
  <si>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</si>
  <si>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</si>
  <si>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</si>
  <si>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</si>
  <si>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</si>
  <si>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</si>
  <si>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</si>
  <si>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</si>
  <si>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</si>
  <si>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</si>
  <si>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</si>
  <si>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</si>
  <si>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</si>
  <si>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</si>
  <si>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</si>
  <si>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</si>
  <si>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</si>
  <si>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</si>
  <si>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</si>
  <si>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</si>
  <si>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</si>
  <si>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</si>
  <si>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</si>
  <si>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</si>
  <si>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</si>
  <si>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</si>
  <si>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</si>
  <si>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</si>
  <si>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</si>
  <si>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</si>
  <si>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</si>
  <si>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</si>
  <si>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</si>
  <si>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</si>
  <si>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</si>
  <si>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</si>
  <si>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</si>
  <si>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</si>
  <si>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</si>
  <si>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</si>
  <si>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</si>
  <si>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</si>
  <si>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</si>
  <si>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</si>
  <si>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</si>
  <si>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</si>
  <si>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</si>
  <si>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</si>
  <si>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</si>
  <si>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</si>
  <si>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</si>
  <si>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</si>
  <si>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</si>
  <si>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</si>
  <si>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</si>
  <si>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</si>
  <si>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</si>
  <si>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</si>
  <si>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</si>
  <si>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</si>
  <si>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</si>
  <si>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</si>
  <si>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</si>
  <si>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</si>
  <si>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</si>
  <si>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</si>
  <si>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</si>
  <si>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</si>
  <si>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</si>
  <si>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</si>
  <si>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</si>
  <si>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</si>
  <si>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</si>
  <si>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</si>
  <si>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</si>
  <si>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</si>
  <si>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</si>
  <si>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</si>
  <si>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</si>
  <si>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</si>
  <si>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</si>
  <si>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</si>
  <si>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</si>
  <si>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</si>
  <si>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</si>
  <si>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</si>
  <si>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</si>
  <si>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</si>
  <si>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</si>
  <si>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</si>
  <si>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</si>
  <si>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</si>
  <si>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</si>
  <si>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</si>
  <si>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</si>
  <si>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</si>
  <si>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</si>
  <si>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</si>
  <si>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</si>
  <si>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</si>
  <si>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</si>
  <si>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</si>
  <si>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</si>
  <si>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</si>
  <si>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</si>
  <si>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</si>
  <si>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</si>
  <si>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</si>
  <si>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</si>
  <si>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</si>
  <si>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</si>
  <si>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</si>
  <si>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</si>
  <si>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</si>
  <si>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</si>
  <si>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</si>
  <si>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</si>
  <si>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</si>
  <si>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</si>
  <si>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</si>
  <si>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</si>
  <si>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</si>
  <si>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</si>
  <si>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</si>
  <si>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</si>
  <si>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</si>
  <si>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</si>
  <si>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</si>
  <si>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</si>
  <si>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</si>
  <si>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</si>
  <si>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</si>
  <si>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</si>
  <si>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</si>
  <si>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</si>
  <si>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</si>
  <si>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</si>
  <si>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</si>
  <si>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</si>
  <si>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</si>
  <si>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</si>
  <si>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</si>
  <si>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</si>
  <si>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</si>
  <si>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</si>
  <si>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</si>
  <si>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</si>
  <si>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</si>
  <si>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</si>
  <si>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</si>
  <si>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</si>
  <si>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</si>
  <si>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</si>
  <si>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</si>
  <si>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</si>
  <si>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</si>
  <si>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</si>
  <si>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</si>
  <si>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</si>
  <si>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</si>
  <si>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</si>
  <si>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</si>
  <si>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</si>
  <si>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</si>
  <si>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</si>
  <si>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</si>
  <si>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</si>
  <si>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</si>
  <si>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</si>
  <si>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</si>
  <si>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</si>
  <si>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</si>
  <si>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</si>
  <si>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</si>
  <si>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</si>
  <si>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</si>
  <si>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</si>
  <si>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</si>
  <si>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</si>
  <si>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</si>
  <si>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</si>
  <si>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</si>
  <si>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</si>
  <si>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</si>
  <si>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</si>
  <si>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</si>
  <si>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</si>
  <si>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</si>
  <si>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</si>
  <si>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</si>
  <si>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</si>
  <si>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</si>
  <si>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</si>
  <si>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</si>
  <si>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</si>
  <si>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</si>
  <si>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</si>
  <si>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</si>
  <si>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</si>
  <si>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</si>
  <si>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</si>
  <si>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</si>
  <si>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</si>
  <si>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</si>
  <si>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</si>
  <si>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</si>
  <si>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</si>
  <si>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</si>
  <si>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</si>
  <si>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</si>
  <si>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</si>
  <si>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</si>
  <si>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</si>
  <si>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</si>
  <si>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</si>
  <si>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</si>
  <si>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</si>
  <si>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</si>
  <si>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</si>
  <si>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</si>
  <si>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</si>
  <si>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</si>
  <si>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</si>
  <si>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</si>
  <si>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</si>
  <si>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</si>
  <si>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</si>
  <si>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</si>
  <si>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</si>
  <si>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</si>
  <si>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</si>
  <si>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</si>
  <si>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</si>
  <si>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</si>
  <si>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</si>
  <si>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</si>
  <si>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</si>
  <si>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</si>
  <si>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</si>
  <si>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</si>
  <si>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</si>
  <si>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</si>
  <si>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</si>
  <si>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</si>
  <si>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</si>
  <si>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</si>
  <si>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</si>
  <si>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</si>
  <si>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</si>
  <si>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</si>
  <si>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</si>
  <si>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</si>
  <si>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</si>
  <si>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</si>
  <si>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</si>
  <si>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</si>
  <si>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</si>
  <si>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</si>
  <si>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</si>
  <si>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</si>
  <si>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</si>
  <si>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</si>
  <si>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</si>
  <si>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</si>
  <si>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</si>
  <si>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</si>
  <si>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</si>
  <si>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</si>
  <si>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</si>
  <si>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</si>
  <si>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</si>
  <si>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</si>
  <si>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</si>
  <si>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</si>
  <si>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</si>
  <si>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</si>
  <si>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</si>
  <si>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</si>
  <si>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</si>
  <si>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</si>
  <si>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</si>
  <si>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</si>
  <si>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</si>
  <si>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</si>
  <si>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</si>
  <si>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</si>
  <si>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</si>
  <si>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</si>
  <si>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</si>
  <si>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</si>
  <si>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</si>
  <si>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</si>
  <si>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</si>
  <si>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</si>
  <si>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</si>
  <si>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</si>
  <si>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</si>
  <si>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</si>
  <si>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</si>
  <si>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</si>
  <si>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</si>
  <si>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</si>
  <si>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</si>
  <si>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</si>
  <si>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</si>
  <si>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</si>
  <si>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</si>
  <si>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</si>
  <si>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</si>
  <si>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</si>
  <si>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</si>
  <si>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</si>
  <si>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</si>
  <si>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</si>
  <si>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</si>
  <si>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</si>
  <si>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</si>
  <si>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</si>
  <si>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</si>
  <si>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</si>
  <si>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</si>
  <si>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</si>
  <si>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</si>
  <si>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</si>
  <si>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</si>
  <si>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</si>
  <si>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</si>
  <si>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</si>
  <si>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</si>
  <si>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</si>
  <si>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</si>
  <si>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</si>
  <si>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</si>
  <si>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</si>
  <si>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</si>
  <si>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</si>
  <si>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</si>
  <si>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</si>
  <si>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</si>
  <si>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</si>
  <si>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</si>
  <si>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</si>
  <si>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</si>
  <si>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</si>
  <si>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</si>
  <si>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</si>
  <si>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</si>
  <si>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</si>
  <si>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</si>
  <si>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</si>
  <si>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</si>
  <si>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</si>
  <si>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</si>
  <si>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</si>
  <si>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</si>
  <si>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</si>
  <si>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</si>
  <si>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</si>
  <si>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</si>
  <si>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</si>
  <si>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</si>
  <si>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</si>
  <si>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</si>
  <si>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</si>
  <si>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</si>
  <si>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</si>
  <si>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</si>
  <si>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</si>
  <si>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</si>
  <si>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</si>
  <si>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</si>
  <si>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</si>
  <si>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</si>
  <si>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</si>
  <si>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</si>
  <si>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</si>
  <si>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</si>
  <si>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</si>
  <si>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</si>
  <si>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</si>
  <si>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</si>
  <si>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</si>
  <si>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</si>
  <si>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</si>
  <si>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</si>
  <si>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</si>
  <si>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</si>
  <si>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</si>
  <si>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</si>
  <si>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</si>
  <si>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</si>
  <si>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</si>
  <si>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</si>
  <si>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</si>
  <si>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</si>
  <si>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</si>
  <si>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</si>
  <si>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</si>
  <si>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</si>
  <si>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</si>
  <si>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</si>
  <si>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</si>
  <si>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</si>
  <si>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</si>
  <si>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</si>
  <si>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</si>
  <si>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</si>
  <si>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</si>
  <si>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</si>
  <si>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</si>
  <si>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</si>
  <si>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</si>
  <si>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</si>
  <si>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</si>
  <si>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</si>
  <si>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</si>
  <si>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</si>
  <si>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</si>
  <si>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</si>
  <si>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</si>
  <si>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</si>
  <si>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</si>
  <si>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</si>
  <si>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</si>
  <si>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</si>
  <si>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</si>
  <si>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</si>
  <si>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</si>
  <si>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</si>
  <si>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</si>
  <si>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</si>
  <si>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</si>
  <si>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</si>
  <si>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</si>
  <si>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</si>
  <si>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</si>
  <si>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</si>
  <si>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</si>
  <si>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</si>
  <si>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</si>
  <si>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</si>
  <si>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</si>
  <si>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</si>
  <si>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</si>
  <si>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</si>
  <si>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</si>
  <si>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</si>
  <si>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</si>
  <si>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</si>
  <si>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</si>
  <si>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</si>
  <si>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</si>
  <si>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</si>
  <si>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</si>
  <si>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</si>
  <si>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</si>
  <si>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</si>
  <si>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</si>
  <si>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</si>
  <si>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</si>
  <si>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</si>
  <si>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</si>
  <si>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</si>
  <si>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</si>
  <si>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</si>
  <si>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</si>
  <si>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</si>
  <si>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</si>
  <si>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</si>
  <si>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</si>
  <si>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</si>
  <si>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</si>
  <si>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</si>
  <si>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</si>
  <si>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</si>
  <si>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</si>
  <si>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</si>
  <si>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</si>
  <si>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</si>
  <si>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</si>
  <si>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</si>
  <si>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</si>
  <si>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</si>
  <si>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</si>
  <si>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</si>
  <si>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</si>
  <si>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</si>
  <si>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</si>
  <si>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</si>
  <si>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</si>
  <si>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</si>
  <si>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</si>
  <si>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</si>
  <si>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</si>
  <si>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</si>
  <si>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</si>
  <si>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</si>
  <si>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</si>
  <si>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</si>
  <si>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</si>
  <si>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</si>
  <si>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</si>
  <si>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</si>
  <si>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</si>
  <si>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</si>
  <si>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</si>
  <si>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</si>
  <si>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</si>
  <si>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</si>
  <si>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</si>
  <si>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</si>
  <si>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</si>
  <si>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</si>
  <si>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</si>
  <si>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</si>
  <si>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</si>
  <si>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</si>
  <si>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</si>
  <si>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</si>
  <si>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</si>
  <si>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</si>
  <si>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</si>
  <si>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</si>
  <si>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</si>
  <si>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</si>
  <si>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</si>
  <si>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</si>
  <si>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</si>
  <si>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</si>
  <si>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</si>
  <si>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</si>
  <si>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</si>
  <si>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</si>
  <si>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</si>
  <si>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</si>
  <si>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</si>
  <si>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</si>
  <si>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</si>
  <si>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</si>
  <si>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</si>
  <si>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</si>
  <si>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</si>
  <si>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</si>
  <si>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</si>
  <si>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</si>
  <si>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</si>
  <si>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</si>
  <si>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</si>
  <si>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</si>
  <si>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</si>
  <si>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</si>
  <si>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</si>
  <si>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</si>
  <si>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</si>
  <si>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</si>
  <si>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</si>
  <si>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</si>
  <si>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</si>
  <si>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</si>
  <si>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</si>
  <si>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</si>
  <si>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</si>
  <si>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</si>
  <si>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</si>
  <si>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</si>
  <si>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</si>
  <si>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</si>
  <si>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</si>
  <si>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</si>
  <si>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</si>
  <si>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</si>
  <si>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</si>
  <si>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</si>
  <si>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</si>
  <si>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</si>
  <si>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</si>
  <si>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</si>
  <si>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</si>
  <si>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</si>
  <si>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</si>
  <si>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</si>
  <si>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</si>
  <si>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</si>
  <si>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</si>
  <si>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</si>
  <si>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</si>
  <si>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</si>
  <si>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</si>
  <si>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</si>
  <si>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</si>
  <si>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</si>
  <si>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</si>
  <si>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</si>
  <si>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</si>
  <si>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</si>
  <si>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</si>
  <si>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</si>
  <si>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</si>
  <si>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</si>
  <si>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</si>
  <si>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</si>
  <si>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</si>
  <si>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</si>
  <si>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</si>
  <si>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</si>
  <si>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</si>
  <si>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</si>
  <si>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</si>
  <si>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</si>
  <si>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</si>
  <si>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</si>
  <si>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</si>
  <si>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</si>
  <si>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</si>
  <si>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</si>
  <si>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</si>
  <si>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</si>
  <si>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</si>
  <si>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</si>
  <si>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</si>
  <si>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</si>
  <si>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</si>
  <si>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</si>
  <si>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</si>
  <si>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</si>
  <si>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</si>
  <si>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</si>
  <si>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</si>
  <si>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</si>
  <si>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</si>
  <si>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</si>
  <si>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</si>
  <si>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</si>
  <si>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</si>
  <si>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</si>
  <si>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</si>
  <si>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</si>
  <si>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</si>
  <si>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</si>
  <si>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</si>
  <si>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</si>
  <si>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</si>
  <si>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</si>
  <si>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</si>
  <si>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</si>
  <si>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</si>
  <si>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</si>
  <si>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</si>
  <si>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</si>
  <si>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</si>
  <si>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</si>
  <si>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</si>
  <si>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</si>
  <si>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</si>
  <si>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</si>
  <si>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</si>
  <si>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</si>
  <si>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</si>
  <si>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</si>
  <si>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</si>
  <si>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</si>
  <si>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</si>
  <si>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</si>
  <si>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</si>
  <si>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</si>
  <si>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</si>
  <si>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</si>
  <si>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</si>
  <si>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</si>
  <si>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</si>
  <si>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</si>
  <si>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</si>
  <si>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</si>
  <si>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</si>
  <si>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</si>
  <si>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</si>
  <si>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</si>
  <si>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</si>
  <si>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</si>
  <si>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</si>
  <si>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</si>
  <si>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</si>
  <si>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</si>
  <si>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</si>
  <si>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</si>
  <si>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</si>
  <si>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</si>
  <si>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</si>
  <si>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</si>
  <si>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</si>
  <si>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</si>
  <si>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</si>
  <si>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</si>
  <si>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</si>
  <si>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</si>
  <si>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</si>
  <si>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</si>
  <si>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</si>
  <si>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</si>
  <si>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</si>
  <si>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</si>
  <si>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</si>
  <si>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</si>
  <si>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</si>
  <si>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</si>
  <si>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</si>
  <si>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</si>
  <si>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</si>
  <si>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</si>
  <si>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</si>
  <si>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</si>
  <si>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</si>
  <si>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</si>
  <si>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</si>
  <si>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</si>
  <si>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</si>
  <si>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</si>
  <si>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</si>
  <si>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</si>
  <si>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</si>
  <si>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</si>
  <si>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</si>
  <si>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</si>
  <si>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</si>
  <si>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</si>
  <si>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</si>
  <si>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</si>
  <si>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</si>
  <si>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</si>
  <si>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</si>
  <si>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</si>
  <si>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</si>
  <si>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</si>
  <si>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</si>
  <si>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</si>
  <si>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</si>
  <si>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</si>
  <si>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</si>
  <si>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</si>
  <si>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</si>
  <si>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</si>
  <si>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</si>
  <si>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</si>
  <si>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</si>
  <si>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</si>
  <si>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</si>
  <si>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</si>
  <si>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</si>
  <si>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</si>
  <si>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</si>
  <si>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</si>
  <si>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</si>
  <si>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</si>
  <si>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</si>
  <si>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</si>
  <si>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</si>
  <si>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</si>
  <si>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</si>
  <si>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</si>
  <si>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</si>
  <si>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</si>
  <si>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</si>
  <si>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</si>
  <si>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</si>
  <si>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</si>
  <si>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</si>
  <si>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</si>
  <si>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</si>
  <si>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</si>
  <si>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</si>
  <si>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</si>
  <si>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</si>
  <si>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</si>
  <si>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</si>
  <si>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</si>
  <si>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</si>
  <si>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</si>
  <si>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</si>
  <si>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</si>
  <si>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</si>
  <si>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</si>
  <si>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</si>
  <si>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</si>
  <si>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</si>
  <si>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</si>
  <si>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</si>
  <si>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</si>
  <si>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</si>
  <si>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</si>
  <si>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</si>
  <si>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</si>
  <si>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</si>
  <si>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</si>
  <si>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</si>
  <si>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</si>
  <si>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</si>
  <si>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</si>
  <si>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</si>
  <si>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</si>
  <si>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</si>
  <si>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</si>
  <si>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</si>
  <si>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</si>
  <si>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</si>
  <si>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</si>
  <si>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</si>
  <si>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</si>
  <si>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</si>
  <si>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</si>
  <si>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</si>
  <si>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</si>
  <si>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</si>
  <si>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</si>
  <si>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</si>
  <si>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</si>
  <si>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</si>
  <si>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</si>
  <si>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</si>
  <si>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</si>
  <si>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</si>
  <si>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</si>
  <si>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</si>
  <si>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</si>
  <si>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</si>
  <si>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</si>
  <si>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</si>
  <si>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</si>
  <si>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</si>
  <si>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</si>
  <si>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</si>
  <si>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</si>
  <si>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</si>
  <si>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</si>
  <si>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</si>
  <si>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</si>
  <si>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</si>
  <si>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</si>
  <si>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</si>
  <si>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</si>
  <si>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</si>
  <si>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</si>
  <si>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</si>
  <si>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</si>
  <si>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</si>
  <si>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</si>
  <si>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</si>
  <si>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</si>
  <si>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</si>
  <si>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</si>
  <si>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</si>
  <si>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</si>
  <si>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</si>
  <si>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</si>
  <si>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</si>
  <si>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</si>
  <si>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</si>
  <si>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</si>
  <si>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</si>
  <si>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</si>
  <si>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</si>
  <si>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</si>
  <si>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</si>
  <si>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</si>
  <si>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</si>
  <si>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</si>
  <si>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</si>
  <si>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</si>
  <si>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</si>
  <si>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</si>
  <si>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</si>
  <si>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</si>
  <si>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</si>
  <si>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</si>
  <si>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</si>
  <si>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</si>
  <si>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</si>
  <si>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</si>
  <si>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</si>
  <si>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</si>
  <si>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</si>
  <si>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</si>
  <si>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</si>
  <si>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</si>
  <si>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</si>
  <si>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</si>
  <si>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</si>
  <si>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</si>
  <si>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</si>
  <si>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</si>
  <si>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</si>
  <si>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</si>
  <si>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</si>
  <si>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</si>
  <si>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</si>
  <si>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</si>
  <si>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</si>
  <si>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</si>
  <si>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</si>
  <si>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</si>
  <si>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</si>
  <si>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</si>
  <si>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</si>
  <si>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</si>
  <si>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</si>
  <si>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</si>
  <si>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</si>
  <si>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</si>
  <si>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</si>
  <si>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</si>
  <si>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</si>
  <si>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</si>
  <si>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</si>
  <si>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</si>
  <si>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</si>
  <si>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</si>
  <si>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</si>
  <si>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</si>
  <si>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</si>
  <si>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</si>
  <si>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</si>
  <si>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</si>
  <si>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</si>
  <si>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</si>
  <si>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</si>
  <si>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</si>
  <si>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</si>
  <si>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</si>
  <si>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</si>
  <si>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</si>
  <si>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</si>
  <si>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</si>
  <si>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</si>
  <si>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</si>
  <si>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</si>
  <si>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</si>
  <si>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</si>
  <si>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</si>
  <si>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</si>
  <si>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</si>
  <si>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</si>
  <si>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</si>
  <si>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</si>
  <si>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</si>
  <si>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</si>
  <si>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</si>
  <si>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</si>
  <si>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</si>
  <si>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</si>
  <si>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</si>
  <si>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</si>
  <si>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</si>
  <si>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</si>
  <si>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</si>
  <si>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</si>
  <si>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</si>
  <si>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</si>
  <si>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</si>
  <si>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</si>
  <si>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</si>
  <si>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</si>
  <si>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</si>
  <si>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</si>
  <si>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</si>
  <si>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</si>
  <si>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</si>
  <si>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</si>
  <si>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</si>
  <si>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</si>
  <si>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</si>
  <si>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</si>
  <si>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</si>
  <si>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</si>
  <si>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</si>
  <si>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</si>
  <si>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</si>
  <si>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</si>
  <si>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</si>
  <si>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</si>
  <si>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</si>
  <si>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</si>
  <si>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</si>
  <si>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</si>
  <si>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</si>
  <si>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</si>
  <si>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</si>
  <si>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</si>
  <si>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</si>
  <si>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</si>
  <si>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</si>
  <si>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</si>
  <si>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</si>
  <si>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</si>
  <si>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</si>
  <si>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</si>
  <si>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</si>
  <si>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</si>
  <si>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</si>
  <si>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</si>
  <si>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</si>
  <si>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</si>
  <si>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</si>
  <si>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</si>
  <si>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</si>
  <si>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</si>
  <si>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</si>
  <si>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</si>
  <si>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</si>
  <si>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</si>
  <si>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</si>
  <si>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</si>
  <si>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</si>
  <si>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</si>
  <si>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</si>
  <si>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</si>
  <si>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</si>
  <si>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</si>
  <si>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</si>
  <si>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</si>
  <si>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</si>
  <si>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</si>
  <si>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</si>
  <si>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</si>
  <si>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</si>
  <si>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</si>
  <si>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</si>
  <si>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</si>
  <si>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</si>
  <si>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</si>
  <si>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</si>
  <si>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</si>
  <si>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</si>
  <si>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</si>
  <si>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</si>
  <si>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</si>
  <si>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</si>
  <si>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</si>
  <si>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</si>
  <si>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</si>
  <si>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</si>
  <si>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</si>
  <si>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</si>
  <si>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</si>
  <si>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</si>
  <si>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</si>
  <si>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</si>
  <si>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</si>
  <si>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</si>
  <si>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</si>
  <si>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</si>
  <si>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</si>
  <si>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</si>
  <si>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</si>
  <si>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</si>
  <si>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</si>
  <si>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</si>
  <si>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</si>
  <si>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</si>
  <si>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</si>
  <si>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</si>
  <si>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</si>
  <si>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</si>
  <si>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</si>
  <si>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</si>
  <si>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</si>
  <si>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</si>
  <si>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</si>
  <si>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</si>
  <si>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</si>
  <si>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</si>
  <si>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</si>
  <si>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</si>
  <si>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</si>
  <si>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</si>
  <si>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</si>
  <si>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</si>
  <si>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</si>
  <si>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</si>
  <si>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</si>
  <si>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</si>
  <si>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</si>
  <si>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</si>
  <si>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</si>
  <si>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</si>
  <si>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</si>
  <si>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</si>
  <si>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</si>
  <si>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</si>
  <si>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</si>
  <si>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</si>
  <si>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</si>
  <si>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</si>
  <si>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</si>
  <si>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</si>
  <si>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</si>
  <si>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</si>
  <si>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</si>
  <si>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</si>
  <si>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</si>
  <si>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</si>
  <si>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</si>
  <si>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</si>
  <si>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</si>
  <si>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</si>
  <si>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</si>
  <si>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</si>
  <si>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</si>
  <si>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</si>
  <si>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</si>
  <si>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</si>
  <si>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</si>
  <si>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</si>
  <si>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</si>
  <si>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</si>
  <si>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</si>
  <si>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</si>
  <si>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</si>
  <si>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</si>
  <si>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</si>
  <si>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</si>
  <si>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</si>
  <si>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</si>
  <si>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</si>
  <si>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</si>
  <si>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</si>
  <si>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</si>
  <si>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</si>
  <si>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</si>
  <si>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</si>
  <si>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</si>
  <si>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</si>
  <si>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</si>
  <si>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</si>
  <si>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</si>
  <si>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</si>
  <si>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</si>
  <si>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</si>
  <si>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</si>
  <si>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</si>
  <si>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</si>
  <si>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</si>
  <si>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</si>
  <si>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</si>
  <si>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</si>
  <si>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</si>
  <si>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</si>
  <si>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</si>
  <si>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</si>
  <si>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</si>
  <si>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</si>
  <si>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</si>
  <si>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</si>
  <si>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</si>
  <si>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</si>
  <si>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</si>
  <si>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</si>
  <si>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</si>
  <si>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</si>
  <si>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</si>
  <si>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</si>
  <si>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</si>
  <si>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</si>
  <si>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</si>
  <si>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</si>
  <si>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</si>
  <si>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</si>
  <si>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</si>
  <si>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</si>
  <si>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</si>
  <si>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</si>
  <si>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</si>
  <si>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</si>
  <si>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</si>
  <si>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</si>
  <si>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</si>
  <si>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</si>
  <si>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</si>
  <si>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</si>
  <si>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</si>
  <si>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</si>
  <si>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</si>
  <si>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</si>
  <si>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</si>
  <si>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</si>
  <si>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</si>
  <si>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</si>
  <si>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</si>
  <si>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</si>
  <si>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</si>
  <si>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</si>
  <si>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</si>
  <si>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</si>
  <si>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</si>
  <si>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</si>
  <si>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</si>
  <si>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</si>
  <si>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</si>
  <si>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</si>
  <si>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</si>
  <si>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</si>
  <si>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</si>
  <si>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</si>
  <si>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</si>
  <si>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</si>
  <si>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</si>
  <si>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</si>
  <si>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</si>
  <si>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</si>
  <si>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</si>
  <si>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</si>
  <si>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</si>
  <si>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</si>
  <si>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</si>
  <si>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</si>
  <si>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</si>
  <si>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</si>
  <si>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</si>
  <si>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</si>
  <si>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</si>
  <si>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</si>
  <si>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</si>
  <si>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</si>
  <si>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</si>
  <si>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</si>
  <si>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</si>
  <si>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</si>
  <si>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</si>
  <si>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</si>
  <si>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</si>
  <si>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</si>
  <si>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</si>
  <si>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</si>
  <si>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</si>
  <si>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</si>
  <si>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</si>
  <si>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</si>
  <si>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</si>
  <si>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</si>
  <si>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</si>
  <si>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</si>
  <si>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</si>
  <si>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</si>
  <si>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</si>
  <si>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</si>
  <si>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</si>
  <si>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</si>
  <si>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</si>
  <si>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</si>
  <si>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</si>
  <si>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</si>
  <si>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</si>
  <si>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</si>
  <si>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</si>
  <si>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</si>
  <si>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</si>
  <si>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</si>
  <si>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</si>
  <si>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</si>
  <si>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</si>
  <si>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</si>
  <si>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</si>
  <si>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</si>
  <si>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</si>
  <si>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</si>
  <si>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</si>
  <si>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</si>
  <si>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</si>
  <si>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</si>
  <si>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</si>
  <si>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</si>
  <si>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</si>
  <si>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</si>
  <si>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</si>
  <si>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</si>
  <si>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</si>
  <si>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</si>
  <si>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</si>
  <si>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</si>
  <si>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</si>
  <si>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</si>
  <si>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</si>
  <si>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</si>
  <si>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</si>
  <si>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</si>
  <si>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</si>
  <si>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</si>
  <si>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</si>
  <si>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</si>
  <si>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</si>
  <si>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</si>
  <si>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</si>
  <si>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</si>
  <si>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</si>
  <si>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</si>
  <si>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</si>
  <si>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</si>
  <si>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</si>
  <si>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</si>
  <si>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</si>
  <si>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</si>
  <si>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</si>
  <si>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</si>
  <si>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</si>
  <si>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</si>
  <si>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</si>
  <si>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</si>
  <si>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</si>
  <si>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</si>
  <si>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</si>
  <si>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</si>
  <si>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</si>
  <si>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</si>
  <si>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</si>
  <si>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</si>
  <si>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</si>
  <si>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</si>
  <si>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</si>
  <si>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</si>
  <si>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</si>
  <si>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</si>
  <si>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</si>
  <si>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</si>
  <si>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</si>
  <si>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</si>
  <si>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</si>
  <si>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</si>
  <si>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</si>
  <si>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</si>
  <si>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</si>
  <si>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</si>
  <si>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</si>
  <si>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</si>
  <si>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</si>
  <si>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</si>
  <si>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</si>
  <si>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</si>
  <si>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</si>
  <si>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</si>
  <si>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</si>
  <si>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</si>
  <si>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</si>
  <si>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</si>
  <si>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</si>
  <si>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</si>
  <si>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</si>
  <si>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</si>
  <si>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</si>
  <si>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</si>
  <si>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</si>
  <si>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</si>
  <si>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</si>
  <si>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</si>
  <si>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</si>
  <si>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</si>
  <si>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</si>
  <si>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</si>
  <si>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</si>
  <si>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</si>
  <si>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</si>
  <si>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</si>
  <si>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</si>
  <si>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</si>
  <si>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</si>
  <si>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</si>
  <si>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</si>
  <si>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</si>
  <si>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</si>
  <si>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</si>
  <si>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</si>
  <si>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</si>
  <si>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</si>
  <si>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</si>
  <si>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</si>
  <si>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</si>
  <si>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</si>
  <si>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</si>
  <si>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</si>
  <si>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</si>
  <si>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</si>
  <si>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</si>
  <si>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</si>
  <si>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</si>
  <si>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</si>
  <si>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</si>
  <si>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</si>
  <si>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</si>
  <si>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</si>
  <si>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</si>
  <si>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</si>
  <si>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</si>
  <si>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</si>
  <si>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</si>
  <si>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</si>
  <si>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</si>
  <si>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</si>
  <si>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</si>
  <si>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</si>
  <si>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</si>
  <si>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</si>
  <si>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</si>
  <si>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</si>
  <si>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</si>
  <si>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</si>
  <si>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</si>
  <si>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</si>
  <si>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</si>
  <si>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</si>
  <si>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</si>
  <si>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</si>
  <si>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</si>
  <si>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</si>
  <si>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</si>
  <si>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</si>
  <si>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</si>
  <si>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</si>
  <si>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</si>
  <si>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</si>
  <si>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</si>
  <si>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</si>
  <si>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</si>
  <si>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</si>
  <si>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</si>
  <si>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</si>
  <si>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</si>
  <si>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</si>
  <si>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</si>
  <si>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</si>
  <si>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</si>
  <si>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</si>
  <si>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</si>
  <si>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</si>
  <si>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</si>
  <si>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</si>
  <si>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</si>
  <si>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</si>
  <si>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</si>
  <si>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</si>
  <si>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</si>
  <si>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</si>
  <si>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</si>
  <si>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</si>
  <si>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</si>
  <si>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</si>
  <si>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</si>
  <si>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</si>
  <si>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</si>
  <si>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</si>
  <si>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</si>
  <si>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</si>
  <si>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</si>
  <si>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</si>
  <si>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</si>
  <si>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</si>
  <si>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</si>
  <si>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</si>
  <si>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</si>
  <si>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</si>
  <si>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</si>
  <si>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</si>
  <si>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</si>
  <si>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</si>
  <si>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</si>
  <si>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</si>
  <si>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</si>
  <si>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</si>
  <si>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</si>
  <si>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</si>
  <si>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</si>
  <si>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</si>
  <si>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</si>
  <si>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</si>
  <si>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</si>
  <si>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</si>
  <si>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</si>
  <si>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</si>
  <si>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</si>
  <si>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</si>
  <si>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</si>
  <si>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</si>
  <si>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</si>
  <si>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</si>
  <si>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</si>
  <si>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</si>
  <si>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</si>
  <si>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</si>
  <si>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</si>
  <si>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</si>
  <si>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</si>
  <si>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</si>
  <si>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</si>
  <si>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</si>
  <si>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</si>
  <si>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</si>
  <si>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</si>
  <si>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</si>
  <si>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</si>
  <si>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</si>
  <si>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</si>
  <si>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</si>
  <si>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</si>
  <si>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</si>
  <si>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</si>
  <si>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</si>
  <si>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</si>
  <si>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</si>
  <si>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</si>
  <si>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</si>
  <si>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</si>
  <si>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</si>
  <si>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</si>
  <si>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</si>
  <si>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</si>
  <si>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</si>
  <si>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</si>
  <si>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</si>
  <si>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</si>
  <si>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</si>
  <si>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</si>
  <si>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</si>
  <si>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</si>
  <si>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</si>
  <si>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</si>
  <si>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</si>
  <si>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</si>
  <si>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</si>
  <si>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</si>
  <si>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</si>
  <si>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</si>
  <si>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</si>
  <si>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</si>
  <si>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</si>
  <si>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</si>
  <si>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</si>
  <si>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</si>
  <si>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</si>
  <si>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</si>
  <si>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</si>
  <si>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</si>
  <si>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</si>
  <si>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</si>
  <si>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</si>
  <si>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</si>
  <si>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</si>
  <si>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</si>
  <si>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</si>
  <si>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</si>
  <si>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</si>
  <si>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</si>
  <si>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</si>
  <si>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</si>
  <si>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</si>
  <si>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</si>
  <si>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</si>
  <si>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</si>
  <si>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</si>
  <si>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</si>
  <si>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</si>
  <si>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</si>
  <si>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</si>
  <si>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</si>
  <si>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</si>
  <si>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</si>
  <si>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</si>
  <si>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</si>
  <si>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</si>
  <si>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</si>
  <si>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</si>
  <si>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</si>
  <si>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</si>
  <si>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</si>
  <si>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</si>
  <si>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</si>
  <si>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</si>
  <si>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</si>
  <si>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</si>
  <si>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</si>
  <si>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</si>
  <si>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</si>
  <si>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</si>
  <si>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</si>
  <si>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</si>
  <si>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</si>
  <si>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</si>
  <si>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</si>
  <si>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</si>
  <si>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</si>
  <si>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</si>
  <si>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</si>
  <si>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</si>
  <si>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</si>
  <si>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</si>
  <si>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</si>
  <si>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</si>
  <si>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</si>
  <si>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</si>
  <si>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</si>
  <si>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</si>
  <si>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</si>
  <si>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</si>
  <si>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</si>
  <si>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</si>
  <si>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</si>
  <si>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</si>
  <si>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</si>
  <si>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</si>
  <si>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</si>
  <si>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</si>
  <si>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</si>
  <si>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</si>
  <si>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</si>
  <si>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</si>
  <si>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</si>
  <si>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</si>
  <si>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</si>
  <si>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</si>
  <si>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</si>
  <si>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</si>
  <si>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</si>
  <si>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</si>
  <si>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</si>
  <si>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</si>
  <si>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</si>
  <si>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</si>
  <si>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</si>
  <si>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</si>
  <si>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</si>
  <si>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</si>
  <si>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</si>
  <si>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</si>
  <si>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</si>
  <si>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</si>
  <si>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</si>
  <si>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</si>
  <si>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</si>
  <si>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</si>
  <si>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</si>
  <si>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</si>
  <si>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</si>
  <si>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</si>
  <si>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</si>
  <si>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</si>
  <si>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</si>
  <si>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</si>
  <si>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</si>
  <si>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</si>
  <si>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</si>
  <si>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</si>
  <si>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</si>
  <si>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</si>
  <si>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</si>
  <si>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</si>
  <si>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</si>
  <si>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</si>
  <si>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</si>
  <si>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</si>
  <si>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</si>
  <si>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</si>
  <si>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</si>
  <si>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</si>
  <si>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</si>
  <si>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</si>
  <si>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</si>
  <si>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</si>
  <si>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</si>
  <si>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</si>
  <si>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</si>
  <si>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</si>
  <si>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</si>
  <si>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</si>
  <si>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</si>
  <si>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</si>
  <si>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</si>
  <si>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</si>
  <si>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</si>
  <si>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</si>
  <si>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</si>
  <si>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</si>
  <si>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</si>
  <si>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</si>
  <si>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</si>
  <si>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</si>
  <si>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</si>
  <si>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</si>
  <si>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</si>
  <si>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</si>
  <si>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</si>
  <si>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</si>
  <si>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</si>
  <si>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</si>
  <si>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</si>
  <si>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</si>
  <si>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</si>
  <si>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</si>
  <si>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</si>
  <si>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</si>
  <si>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</si>
  <si>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</si>
  <si>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</si>
  <si>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</si>
  <si>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</si>
  <si>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</si>
  <si>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</si>
  <si>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</si>
  <si>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</si>
  <si>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</si>
  <si>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</si>
  <si>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</si>
  <si>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</si>
  <si>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</si>
  <si>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</si>
  <si>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</si>
  <si>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</si>
  <si>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</si>
  <si>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</si>
  <si>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</si>
  <si>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</si>
  <si>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</si>
  <si>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</si>
  <si>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</si>
  <si>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</si>
  <si>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</si>
  <si>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</si>
  <si>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</si>
  <si>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</si>
  <si>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</si>
  <si>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</si>
  <si>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</si>
  <si>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</si>
  <si>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</si>
  <si>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</si>
  <si>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</si>
  <si>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</si>
  <si>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</si>
  <si>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</si>
  <si>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</si>
  <si>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</si>
  <si>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</si>
  <si>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</si>
  <si>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</si>
  <si>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</si>
  <si>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</si>
  <si>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</si>
  <si>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</si>
  <si>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</si>
  <si>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</si>
  <si>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</si>
  <si>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</si>
  <si>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</si>
  <si>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</si>
  <si>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</si>
  <si>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</si>
  <si>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</si>
  <si>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</si>
  <si>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</si>
  <si>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</si>
  <si>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</si>
  <si>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</si>
  <si>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</si>
  <si>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</si>
  <si>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</si>
  <si>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</si>
  <si>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</si>
  <si>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</si>
  <si>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</si>
  <si>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</si>
  <si>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</si>
  <si>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</si>
  <si>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</si>
  <si>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</si>
  <si>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</si>
  <si>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</si>
  <si>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</si>
  <si>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</si>
  <si>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</si>
  <si>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</si>
  <si>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</si>
  <si>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</si>
  <si>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</si>
  <si>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</si>
  <si>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</si>
  <si>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</si>
  <si>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</si>
  <si>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</si>
  <si>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</si>
  <si>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</si>
  <si>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</si>
  <si>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</si>
  <si>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</si>
  <si>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</si>
  <si>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</si>
  <si>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</si>
  <si>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</si>
  <si>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</si>
  <si>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</si>
  <si>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</si>
  <si>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</si>
  <si>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</si>
  <si>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</si>
  <si>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</si>
  <si>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</si>
  <si>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</si>
  <si>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</si>
  <si>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</si>
  <si>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</si>
  <si>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</si>
  <si>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</si>
  <si>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</si>
  <si>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</si>
  <si>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</si>
  <si>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</si>
  <si>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</si>
  <si>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</si>
  <si>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</si>
  <si>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</si>
  <si>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</si>
  <si>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</si>
  <si>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</si>
  <si>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</si>
  <si>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</si>
  <si>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</si>
  <si>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</si>
  <si>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</si>
  <si>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</si>
  <si>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</si>
  <si>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</si>
  <si>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</si>
  <si>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</si>
  <si>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</si>
  <si>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</si>
  <si>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</si>
  <si>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</si>
  <si>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</si>
  <si>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</si>
  <si>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</si>
  <si>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</si>
  <si>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</si>
  <si>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</si>
  <si>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</si>
  <si>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</si>
  <si>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</si>
  <si>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</si>
  <si>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</si>
  <si>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</si>
  <si>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</si>
  <si>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</si>
  <si>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</si>
  <si>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</si>
  <si>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</si>
  <si>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</si>
  <si>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</si>
  <si>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</si>
  <si>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</si>
  <si>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</si>
  <si>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</si>
  <si>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</si>
  <si>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</si>
  <si>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</si>
  <si>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</si>
  <si>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</si>
  <si>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</si>
  <si>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</si>
  <si>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</si>
  <si>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</si>
  <si>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</si>
  <si>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</si>
  <si>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</si>
  <si>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</si>
  <si>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</si>
  <si>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</si>
  <si>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</si>
  <si>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</si>
  <si>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</si>
  <si>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</si>
  <si>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</si>
  <si>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</si>
  <si>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</si>
  <si>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</si>
  <si>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</si>
  <si>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</si>
  <si>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</si>
  <si>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</si>
  <si>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</si>
  <si>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</si>
  <si>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</si>
  <si>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</si>
  <si>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</si>
  <si>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</si>
  <si>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</si>
  <si>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</si>
  <si>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</si>
  <si>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</si>
  <si>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</si>
  <si>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</si>
  <si>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</si>
  <si>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</si>
  <si>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</si>
  <si>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</si>
  <si>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</si>
  <si>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</si>
  <si>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</si>
  <si>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</si>
  <si>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</si>
  <si>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</si>
  <si>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</si>
  <si>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</si>
  <si>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</si>
  <si>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</si>
  <si>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</si>
  <si>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</si>
  <si>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</si>
  <si>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</si>
  <si>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</si>
  <si>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</si>
  <si>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</si>
  <si>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</si>
  <si>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</si>
  <si>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</si>
  <si>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</si>
  <si>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</si>
  <si>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</si>
  <si>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</si>
  <si>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</si>
  <si>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</si>
  <si>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</si>
  <si>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</si>
  <si>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</si>
  <si>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</si>
  <si>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</si>
  <si>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</si>
  <si>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</si>
  <si>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</si>
  <si>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</si>
  <si>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</si>
  <si>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</si>
  <si>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</si>
  <si>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</si>
  <si>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</si>
  <si>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</si>
  <si>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</si>
  <si>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</si>
  <si>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</si>
  <si>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</si>
  <si>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</si>
  <si>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</si>
  <si>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</si>
  <si>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</si>
  <si>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</si>
  <si>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</si>
  <si>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</si>
  <si>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</si>
  <si>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</si>
  <si>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</si>
  <si>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</si>
  <si>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</si>
  <si>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</si>
  <si>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</si>
  <si>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</si>
  <si>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</si>
  <si>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</si>
  <si>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</si>
  <si>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</si>
  <si>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</si>
  <si>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</si>
  <si>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</si>
  <si>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</si>
  <si>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</si>
  <si>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</si>
  <si>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</si>
  <si>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</si>
  <si>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</si>
  <si>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</si>
  <si>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</si>
  <si>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</si>
  <si>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</si>
  <si>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</si>
  <si>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</si>
  <si>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</si>
  <si>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</si>
  <si>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</si>
  <si>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</si>
  <si>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</si>
  <si>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</si>
  <si>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</si>
  <si>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</si>
  <si>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</si>
  <si>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</si>
  <si>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</si>
  <si>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</si>
  <si>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</si>
  <si>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</si>
  <si>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</si>
  <si>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</si>
  <si>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</si>
  <si>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</si>
  <si>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</si>
  <si>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</si>
  <si>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</si>
  <si>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</si>
  <si>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</si>
  <si>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</si>
  <si>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</si>
  <si>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</si>
  <si>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</si>
  <si>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</si>
  <si>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</si>
  <si>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</si>
  <si>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</si>
  <si>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</si>
  <si>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</si>
  <si>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</si>
  <si>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</si>
  <si>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</si>
  <si>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</si>
  <si>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</si>
  <si>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</si>
  <si>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</si>
  <si>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</si>
  <si>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</si>
  <si>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</si>
  <si>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</si>
  <si>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</si>
  <si>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</si>
  <si>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</si>
  <si>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</si>
  <si>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</si>
  <si>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</si>
  <si>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</si>
  <si>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</si>
  <si>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</si>
  <si>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</si>
  <si>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</si>
  <si>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</si>
  <si>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</si>
  <si>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</si>
  <si>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</si>
  <si>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</si>
  <si>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</si>
  <si>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</si>
  <si>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</si>
  <si>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</si>
  <si>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</si>
  <si>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</si>
  <si>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</si>
  <si>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</si>
  <si>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</si>
  <si>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</si>
  <si>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</si>
  <si>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</si>
  <si>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</si>
  <si>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</si>
  <si>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</si>
  <si>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</si>
  <si>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</si>
  <si>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</si>
  <si>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</si>
  <si>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</si>
  <si>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</si>
  <si>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</si>
  <si>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</si>
  <si>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</si>
  <si>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</si>
  <si>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</si>
  <si>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</si>
  <si>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</si>
  <si>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</si>
  <si>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</si>
  <si>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</si>
  <si>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</si>
  <si>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</si>
  <si>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</si>
  <si>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</si>
  <si>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</si>
  <si>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</si>
  <si>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</si>
  <si>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</si>
  <si>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</si>
  <si>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</si>
  <si>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</si>
  <si>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</si>
  <si>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</si>
  <si>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</si>
  <si>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</si>
  <si>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</si>
  <si>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</si>
  <si>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</si>
  <si>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</si>
  <si>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</si>
  <si>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</si>
  <si>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</si>
  <si>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</si>
  <si>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</si>
  <si>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</si>
  <si>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</si>
  <si>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</si>
  <si>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</si>
  <si>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</si>
  <si>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</si>
  <si>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</si>
  <si>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</si>
  <si>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</si>
  <si>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</si>
  <si>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</si>
  <si>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</si>
  <si>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</si>
  <si>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</si>
  <si>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</si>
  <si>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</si>
  <si>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</si>
  <si>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</si>
  <si>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</si>
  <si>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</si>
  <si>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</si>
  <si>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</si>
  <si>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</si>
  <si>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</si>
  <si>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</si>
  <si>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</si>
  <si>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</si>
  <si>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</si>
  <si>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</si>
  <si>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</si>
  <si>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</si>
  <si>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</si>
  <si>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</si>
  <si>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</si>
  <si>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</si>
  <si>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</si>
  <si>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</si>
  <si>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</si>
  <si>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</si>
  <si>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</si>
  <si>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</si>
  <si>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</si>
  <si>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</si>
  <si>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</si>
  <si>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</si>
  <si>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</si>
  <si>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</si>
  <si>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</si>
  <si>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</si>
  <si>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</si>
  <si>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</si>
  <si>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</si>
  <si>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</si>
  <si>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</si>
  <si>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</si>
  <si>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</si>
  <si>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</si>
  <si>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</si>
  <si>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</si>
  <si>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</si>
  <si>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</si>
  <si>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</si>
  <si>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</si>
  <si>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</si>
  <si>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</si>
  <si>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</si>
  <si>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</si>
  <si>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</si>
  <si>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</si>
  <si>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</si>
  <si>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</si>
  <si>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</si>
  <si>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</si>
  <si>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</si>
  <si>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</si>
  <si>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</si>
  <si>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</si>
  <si>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</si>
  <si>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</si>
  <si>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</si>
  <si>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</si>
  <si>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</si>
  <si>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</si>
  <si>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</si>
  <si>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</si>
  <si>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</si>
  <si>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</si>
  <si>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</si>
  <si>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</si>
  <si>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</si>
  <si>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</si>
  <si>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</si>
  <si>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</si>
  <si>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</si>
  <si>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</si>
  <si>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</si>
  <si>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</si>
  <si>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</si>
  <si>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</si>
  <si>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</si>
  <si>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</si>
  <si>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</si>
  <si>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</si>
  <si>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</si>
  <si>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</si>
  <si>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</si>
  <si>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</si>
  <si>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</si>
  <si>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</si>
  <si>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</si>
  <si>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</si>
  <si>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</si>
  <si>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</si>
  <si>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</si>
  <si>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</si>
  <si>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</si>
  <si>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</si>
  <si>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</si>
  <si>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</si>
  <si>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</si>
  <si>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</si>
  <si>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</si>
  <si>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</si>
  <si>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</si>
  <si>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</si>
  <si>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</si>
  <si>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</si>
  <si>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</si>
  <si>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</si>
  <si>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</si>
  <si>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</si>
  <si>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</si>
  <si>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</si>
  <si>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</si>
  <si>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</si>
  <si>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</si>
  <si>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</si>
  <si>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</si>
  <si>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</si>
  <si>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</si>
  <si>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</si>
  <si>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</si>
  <si>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</si>
  <si>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</si>
  <si>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</si>
  <si>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</si>
  <si>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</si>
  <si>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</si>
  <si>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</si>
  <si>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</si>
  <si>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</si>
  <si>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</si>
  <si>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</si>
  <si>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</si>
  <si>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</si>
  <si>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</si>
  <si>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</si>
  <si>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</si>
  <si>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</si>
  <si>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</si>
  <si>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</si>
  <si>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</si>
  <si>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</si>
  <si>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</si>
  <si>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</si>
  <si>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</si>
  <si>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</si>
  <si>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</si>
  <si>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</si>
  <si>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</si>
  <si>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</si>
  <si>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</si>
  <si>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</si>
  <si>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</si>
  <si>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</si>
  <si>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</si>
  <si>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</si>
  <si>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</si>
  <si>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</si>
  <si>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</si>
  <si>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</si>
  <si>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</si>
  <si>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</si>
  <si>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</si>
  <si>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</si>
  <si>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</si>
  <si>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</si>
  <si>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</si>
  <si>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</si>
  <si>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</si>
  <si>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</si>
  <si>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</si>
  <si>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</si>
  <si>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</si>
  <si>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</si>
  <si>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</si>
  <si>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</si>
  <si>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</si>
  <si>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</si>
  <si>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</si>
  <si>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</si>
  <si>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</si>
  <si>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</si>
  <si>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</si>
  <si>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</si>
  <si>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</si>
  <si>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</si>
  <si>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</si>
  <si>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</si>
  <si>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</si>
  <si>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</si>
  <si>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</si>
  <si>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</si>
  <si>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</si>
  <si>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</si>
  <si>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</si>
  <si>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</si>
  <si>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</si>
  <si>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</si>
  <si>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</si>
  <si>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</si>
  <si>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</si>
  <si>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</si>
  <si>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</si>
  <si>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</si>
  <si>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</si>
  <si>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</si>
  <si>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</si>
  <si>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</si>
  <si>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</si>
  <si>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</si>
  <si>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</si>
  <si>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</si>
  <si>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</si>
  <si>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</si>
  <si>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</si>
  <si>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</si>
  <si>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</si>
  <si>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</si>
  <si>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</si>
  <si>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</si>
  <si>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</si>
  <si>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</si>
  <si>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</si>
  <si>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</si>
  <si>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</si>
  <si>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</si>
  <si>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</si>
  <si>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</si>
  <si>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</si>
  <si>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</si>
  <si>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</si>
  <si>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</si>
  <si>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</si>
  <si>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</si>
  <si>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</si>
  <si>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</si>
  <si>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</si>
  <si>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</si>
  <si>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</si>
  <si>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</si>
  <si>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</si>
  <si>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</si>
  <si>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</si>
  <si>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</si>
  <si>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</si>
  <si>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</si>
  <si>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</si>
  <si>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</si>
  <si>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</si>
  <si>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</si>
  <si>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</si>
  <si>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</si>
  <si>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</si>
  <si>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</si>
  <si>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</si>
  <si>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</si>
  <si>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</si>
  <si>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</si>
  <si>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</si>
  <si>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</si>
  <si>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</si>
  <si>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</si>
  <si>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</si>
  <si>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</si>
  <si>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</si>
  <si>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</si>
  <si>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</si>
  <si>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</si>
  <si>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</si>
  <si>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</si>
  <si>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</si>
  <si>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</si>
  <si>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</si>
  <si>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</si>
  <si>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</si>
  <si>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</si>
  <si>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</si>
  <si>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</si>
  <si>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</si>
  <si>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</si>
  <si>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</si>
  <si>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</si>
  <si>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</si>
  <si>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</si>
  <si>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</si>
  <si>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</si>
  <si>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</si>
  <si>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</si>
  <si>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</si>
  <si>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</si>
  <si>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</si>
  <si>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</si>
  <si>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</si>
  <si>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</si>
  <si>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</si>
  <si>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</si>
  <si>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</si>
  <si>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</si>
  <si>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</si>
  <si>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</si>
  <si>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</si>
  <si>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</si>
  <si>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</si>
  <si>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</si>
  <si>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</si>
  <si>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</si>
  <si>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</si>
  <si>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</si>
  <si>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</si>
  <si>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</si>
  <si>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</si>
  <si>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</si>
  <si>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</si>
  <si>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</si>
  <si>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</si>
  <si>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</si>
  <si>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</si>
  <si>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</si>
  <si>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</si>
  <si>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</si>
  <si>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</si>
  <si>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</si>
  <si>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</si>
  <si>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</si>
  <si>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</si>
  <si>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</si>
  <si>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</si>
  <si>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</si>
  <si>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</si>
  <si>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</si>
  <si>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</si>
  <si>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</si>
  <si>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</si>
  <si>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</si>
  <si>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</si>
  <si>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</si>
  <si>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</si>
  <si>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</si>
  <si>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</si>
  <si>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</si>
  <si>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</si>
  <si>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</si>
  <si>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</si>
  <si>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</si>
  <si>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</si>
  <si>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</si>
  <si>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</si>
  <si>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</si>
  <si>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</si>
  <si>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</si>
  <si>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</si>
  <si>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</si>
  <si>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</si>
  <si>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</si>
  <si>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</si>
  <si>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</si>
  <si>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</si>
  <si>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</si>
  <si>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</si>
  <si>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</si>
  <si>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</si>
  <si>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</si>
  <si>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</si>
  <si>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</si>
  <si>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</si>
  <si>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</si>
  <si>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</si>
  <si>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</si>
  <si>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</si>
  <si>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</si>
  <si>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</si>
  <si>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</si>
  <si>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</si>
  <si>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</si>
  <si>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</si>
  <si>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</si>
  <si>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</si>
  <si>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</si>
  <si>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</si>
  <si>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</si>
  <si>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</si>
  <si>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</si>
  <si>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</si>
  <si>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</si>
  <si>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</si>
  <si>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</si>
  <si>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</si>
  <si>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</si>
  <si>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</si>
  <si>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</si>
  <si>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</si>
  <si>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</si>
  <si>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</si>
  <si>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</si>
  <si>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</si>
  <si>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</si>
  <si>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</si>
  <si>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</si>
  <si>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</si>
  <si>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</si>
  <si>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</si>
  <si>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</si>
  <si>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</si>
  <si>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</si>
  <si>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</si>
  <si>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</si>
  <si>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</si>
  <si>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</si>
  <si>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</si>
  <si>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</si>
  <si>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</si>
  <si>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</si>
  <si>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</si>
  <si>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</si>
  <si>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</si>
  <si>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</si>
  <si>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</si>
  <si>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</si>
  <si>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</si>
  <si>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</si>
  <si>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</si>
  <si>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</si>
  <si>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</si>
  <si>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</si>
  <si>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</si>
  <si>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</si>
  <si>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</si>
  <si>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</si>
  <si>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</si>
  <si>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</si>
  <si>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</si>
  <si>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</si>
  <si>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</si>
  <si>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</si>
  <si>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</si>
  <si>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</si>
  <si>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</si>
  <si>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</si>
  <si>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</si>
  <si>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</si>
  <si>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</si>
  <si>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</si>
  <si>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</si>
  <si>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</si>
  <si>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</si>
  <si>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</si>
  <si>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</si>
  <si>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</si>
  <si>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</si>
  <si>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</si>
  <si>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</si>
  <si>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</si>
  <si>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</si>
  <si>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</si>
  <si>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</si>
  <si>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</si>
  <si>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</si>
  <si>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</si>
  <si>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</si>
  <si>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</si>
  <si>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</si>
  <si>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</si>
  <si>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</si>
  <si>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</si>
  <si>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</si>
  <si>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</si>
  <si>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</si>
  <si>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</si>
  <si>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</si>
  <si>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</si>
  <si>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</si>
  <si>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</si>
  <si>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</si>
  <si>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</si>
  <si>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</si>
  <si>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</si>
  <si>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</si>
  <si>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</si>
  <si>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</si>
  <si>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</si>
  <si>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</si>
  <si>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</si>
  <si>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</si>
  <si>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</si>
  <si>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</si>
  <si>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</si>
  <si>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</si>
  <si>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</si>
  <si>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</si>
  <si>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</si>
  <si>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</si>
  <si>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</si>
  <si>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</si>
  <si>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</si>
  <si>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</si>
  <si>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</si>
  <si>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</si>
  <si>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</si>
  <si>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</si>
  <si>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</si>
  <si>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</si>
  <si>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</si>
  <si>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</si>
  <si>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</si>
  <si>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</si>
  <si>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</si>
  <si>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</si>
  <si>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</si>
  <si>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</si>
  <si>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</si>
  <si>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</si>
  <si>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</si>
  <si>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</si>
  <si>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</si>
  <si>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</si>
  <si>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</si>
  <si>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</si>
  <si>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</si>
  <si>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</si>
  <si>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</si>
  <si>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</si>
  <si>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</si>
  <si>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</si>
  <si>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</si>
  <si>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</si>
  <si>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</si>
  <si>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</si>
  <si>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</si>
  <si>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</si>
  <si>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</si>
  <si>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</si>
  <si>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</si>
  <si>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</si>
  <si>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</si>
  <si>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</si>
  <si>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</si>
  <si>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</si>
  <si>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</si>
  <si>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</si>
  <si>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</si>
  <si>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</si>
  <si>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</si>
  <si>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</si>
  <si>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</si>
  <si>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</si>
  <si>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</si>
  <si>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</si>
  <si>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</si>
  <si>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</si>
  <si>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</si>
  <si>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</si>
  <si>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</si>
  <si>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</si>
  <si>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</si>
  <si>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</si>
  <si>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</si>
  <si>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</si>
  <si>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</si>
  <si>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</si>
  <si>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</si>
  <si>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</si>
  <si>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</si>
  <si>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</si>
  <si>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</si>
  <si>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</si>
  <si>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</si>
  <si>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</si>
  <si>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</si>
  <si>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</si>
  <si>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</si>
  <si>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</si>
  <si>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</si>
  <si>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</si>
  <si>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</si>
  <si>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</si>
  <si>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</si>
  <si>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</si>
  <si>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</si>
  <si>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</si>
  <si>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</si>
  <si>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</si>
  <si>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</si>
  <si>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</si>
  <si>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</si>
  <si>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</si>
  <si>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</si>
  <si>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</si>
  <si>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</si>
  <si>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</si>
  <si>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</si>
  <si>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</si>
  <si>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</si>
  <si>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</si>
  <si>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</si>
  <si>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</si>
  <si>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</si>
  <si>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</si>
  <si>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</si>
  <si>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</si>
  <si>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</si>
  <si>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</si>
  <si>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</si>
  <si>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</si>
  <si>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</si>
  <si>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</si>
  <si>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</si>
  <si>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</si>
  <si>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</si>
  <si>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</si>
  <si>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</si>
  <si>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</si>
  <si>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</si>
  <si>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</si>
  <si>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</si>
  <si>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</si>
  <si>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</si>
  <si>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</si>
  <si>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</si>
  <si>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</si>
  <si>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</si>
  <si>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</si>
  <si>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</si>
  <si>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</si>
  <si>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</si>
  <si>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</si>
  <si>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</si>
  <si>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</si>
  <si>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</si>
  <si>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</si>
  <si>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</si>
  <si>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</si>
  <si>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</si>
  <si>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</si>
  <si>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</si>
  <si>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</si>
  <si>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</si>
  <si>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</si>
  <si>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</si>
  <si>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</si>
  <si>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</si>
  <si>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</si>
  <si>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</si>
  <si>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</si>
  <si>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</si>
  <si>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</si>
  <si>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</si>
  <si>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</si>
  <si>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</si>
  <si>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</si>
  <si>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</si>
  <si>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</si>
  <si>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</si>
  <si>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</si>
  <si>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</si>
  <si>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</si>
  <si>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</si>
  <si>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</si>
  <si>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</si>
  <si>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</si>
  <si>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</si>
  <si>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</si>
  <si>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</si>
  <si>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</si>
  <si>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</si>
  <si>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</si>
  <si>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</si>
  <si>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</si>
  <si>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</si>
  <si>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</si>
  <si>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</si>
  <si>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</si>
  <si>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</si>
  <si>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</si>
  <si>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</si>
  <si>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</si>
  <si>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</si>
  <si>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</si>
  <si>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</si>
  <si>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</si>
  <si>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</si>
  <si>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</si>
  <si>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</si>
  <si>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</si>
  <si>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</si>
  <si>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</si>
  <si>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</si>
  <si>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</si>
  <si>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</si>
  <si>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</si>
  <si>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</si>
  <si>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</si>
  <si>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</si>
  <si>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</si>
  <si>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</si>
  <si>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</si>
  <si>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</si>
  <si>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</si>
  <si>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</si>
  <si>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</si>
  <si>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</si>
  <si>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</si>
  <si>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</si>
  <si>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</si>
  <si>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</si>
  <si>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</si>
  <si>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</si>
  <si>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</si>
  <si>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</si>
  <si>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</si>
  <si>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</si>
  <si>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</si>
  <si>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</si>
  <si>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</si>
  <si>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</si>
  <si>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</si>
  <si>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</si>
  <si>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</si>
  <si>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</si>
  <si>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</si>
  <si>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</si>
  <si>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</si>
  <si>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</si>
  <si>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</si>
  <si>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</si>
  <si>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</si>
  <si>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</si>
  <si>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</si>
  <si>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</si>
  <si>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</si>
  <si>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</si>
  <si>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</si>
  <si>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</si>
  <si>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</si>
  <si>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</si>
  <si>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</si>
  <si>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</si>
  <si>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</si>
  <si>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</si>
  <si>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</si>
  <si>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</si>
  <si>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</si>
  <si>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</si>
  <si>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</si>
  <si>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</si>
  <si>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</si>
  <si>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</si>
  <si>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</si>
  <si>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</si>
  <si>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</si>
  <si>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</si>
  <si>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</si>
  <si>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</si>
  <si>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</si>
  <si>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</si>
  <si>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</si>
  <si>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</si>
  <si>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</si>
  <si>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</si>
  <si>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</si>
  <si>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</si>
  <si>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</si>
  <si>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</si>
  <si>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</si>
  <si>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</si>
  <si>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</si>
  <si>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</si>
  <si>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</si>
  <si>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</si>
  <si>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</si>
  <si>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</si>
  <si>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</si>
  <si>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</si>
  <si>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</si>
  <si>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</si>
  <si>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</si>
  <si>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</si>
  <si>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</si>
  <si>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</si>
  <si>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</si>
  <si>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</si>
  <si>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</si>
  <si>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</si>
  <si>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</si>
  <si>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</si>
  <si>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</si>
  <si>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</si>
  <si>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</si>
  <si>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</si>
  <si>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</si>
  <si>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</si>
  <si>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</si>
  <si>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</si>
  <si>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</si>
  <si>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</si>
  <si>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</si>
  <si>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</si>
  <si>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</si>
  <si>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</si>
  <si>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</si>
  <si>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</si>
  <si>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</si>
  <si>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</si>
  <si>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</si>
  <si>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</si>
  <si>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</si>
  <si>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</si>
  <si>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</si>
  <si>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</si>
  <si>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</si>
  <si>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</si>
  <si>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</si>
  <si>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</si>
  <si>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</si>
  <si>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</si>
  <si>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</si>
  <si>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</si>
  <si>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</si>
  <si>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</si>
  <si>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</si>
  <si>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</si>
  <si>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</si>
  <si>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</si>
  <si>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</si>
  <si>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</si>
  <si>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</si>
  <si>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</si>
  <si>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</si>
  <si>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</si>
  <si>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</si>
  <si>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</si>
  <si>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</si>
  <si>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</si>
  <si>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</si>
  <si>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</si>
  <si>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</si>
  <si>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</si>
  <si>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</si>
  <si>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</si>
  <si>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</si>
  <si>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</si>
  <si>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</si>
  <si>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</si>
  <si>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</si>
  <si>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</si>
  <si>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</si>
  <si>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</si>
  <si>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</si>
  <si>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</si>
  <si>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</si>
  <si>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</si>
  <si>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</si>
  <si>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</si>
  <si>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</si>
  <si>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</si>
  <si>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</si>
  <si>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</si>
  <si>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</si>
  <si>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</si>
  <si>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</si>
  <si>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</si>
  <si>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</si>
  <si>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</si>
  <si>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</si>
  <si>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</si>
  <si>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</si>
  <si>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</si>
  <si>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</si>
  <si>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</si>
  <si>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</si>
  <si>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</si>
  <si>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</si>
  <si>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</si>
  <si>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</si>
  <si>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</si>
  <si>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</si>
  <si>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</si>
  <si>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</si>
  <si>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</si>
  <si>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</si>
  <si>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</si>
  <si>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</si>
  <si>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</si>
  <si>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</si>
  <si>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</si>
  <si>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</si>
  <si>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</si>
  <si>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</si>
  <si>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</si>
  <si>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</si>
  <si>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</si>
  <si>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</si>
  <si>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</si>
  <si>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</si>
  <si>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</si>
  <si>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</si>
  <si>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</si>
  <si>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</si>
  <si>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</si>
  <si>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</si>
  <si>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</si>
  <si>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</si>
  <si>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</si>
  <si>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</si>
  <si>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</si>
  <si>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</si>
  <si>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</si>
  <si>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</si>
  <si>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</si>
  <si>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</si>
  <si>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</si>
  <si>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</si>
  <si>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</si>
  <si>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</si>
  <si>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</si>
  <si>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</si>
  <si>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</si>
  <si>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</si>
  <si>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</si>
  <si>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</si>
  <si>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</si>
  <si>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</si>
  <si>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</si>
  <si>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</si>
  <si>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</si>
  <si>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</si>
  <si>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</si>
  <si>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</si>
  <si>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</si>
  <si>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</si>
  <si>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</si>
  <si>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</si>
  <si>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</si>
  <si>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</si>
  <si>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</si>
  <si>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</si>
  <si>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</si>
  <si>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</si>
  <si>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</si>
  <si>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</si>
  <si>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</si>
  <si>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</si>
  <si>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</si>
  <si>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</si>
  <si>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</si>
  <si>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</si>
  <si>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</si>
  <si>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</si>
  <si>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</si>
  <si>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</si>
  <si>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</si>
  <si>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</si>
  <si>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</si>
  <si>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</si>
  <si>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</si>
  <si>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</si>
  <si>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</si>
  <si>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</si>
  <si>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</si>
  <si>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</si>
  <si>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</si>
  <si>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</si>
  <si>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</si>
  <si>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</si>
  <si>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</si>
  <si>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</si>
  <si>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</si>
  <si>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</si>
  <si>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</si>
  <si>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</si>
  <si>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</si>
  <si>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</si>
  <si>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</si>
  <si>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</si>
  <si>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</si>
  <si>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</si>
  <si>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</si>
  <si>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</si>
  <si>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</si>
  <si>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</si>
  <si>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</si>
  <si>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</si>
  <si>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</si>
  <si>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</si>
  <si>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</si>
  <si>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</si>
  <si>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</si>
  <si>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</si>
  <si>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</si>
  <si>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</si>
  <si>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</si>
  <si>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</si>
  <si>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</si>
  <si>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</si>
  <si>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</si>
  <si>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</si>
  <si>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</si>
  <si>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</si>
  <si>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</si>
  <si>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</si>
  <si>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</si>
  <si>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</si>
  <si>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</si>
  <si>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</si>
  <si>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</si>
  <si>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</si>
  <si>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</si>
  <si>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</si>
  <si>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</si>
  <si>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</si>
  <si>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</si>
  <si>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</si>
  <si>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</si>
  <si>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</si>
  <si>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</si>
  <si>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</si>
  <si>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</si>
  <si>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</si>
  <si>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</si>
  <si>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</si>
  <si>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</si>
  <si>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</si>
  <si>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</si>
  <si>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</si>
  <si>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</si>
  <si>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</si>
  <si>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</si>
  <si>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</si>
  <si>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</si>
  <si>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</si>
  <si>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</si>
  <si>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</si>
  <si>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</si>
  <si>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</si>
  <si>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</si>
  <si>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</si>
  <si>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</si>
  <si>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</si>
  <si>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</si>
  <si>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</si>
  <si>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</si>
  <si>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</si>
  <si>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</si>
  <si>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</si>
  <si>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</si>
  <si>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</si>
  <si>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</si>
  <si>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</si>
  <si>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</si>
  <si>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</si>
  <si>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</si>
  <si>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</si>
  <si>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</si>
  <si>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</si>
  <si>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</si>
  <si>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</si>
  <si>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</si>
  <si>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</si>
  <si>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</si>
  <si>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</si>
  <si>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</si>
  <si>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</si>
  <si>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</si>
  <si>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</si>
  <si>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</si>
  <si>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</si>
  <si>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</si>
  <si>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</si>
  <si>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</si>
  <si>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</si>
  <si>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</si>
  <si>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</si>
  <si>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</si>
  <si>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</si>
  <si>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</si>
  <si>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</si>
  <si>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</si>
  <si>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</si>
  <si>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</si>
  <si>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</si>
  <si>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</si>
  <si>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</si>
  <si>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</si>
  <si>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</si>
  <si>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</si>
  <si>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</si>
  <si>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</si>
  <si>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</si>
  <si>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</si>
  <si>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</si>
  <si>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</si>
  <si>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</si>
  <si>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</si>
  <si>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</si>
  <si>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</si>
  <si>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</si>
  <si>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</si>
  <si>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</si>
  <si>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</si>
  <si>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</si>
  <si>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</si>
  <si>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</si>
  <si>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</si>
  <si>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</si>
  <si>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</si>
  <si>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</si>
  <si>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</si>
  <si>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</si>
  <si>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</si>
  <si>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</si>
  <si>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</si>
  <si>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</si>
  <si>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</si>
  <si>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</si>
  <si>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</si>
  <si>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</si>
  <si>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</si>
  <si>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</si>
  <si>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</si>
  <si>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</si>
  <si>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</si>
  <si>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</si>
  <si>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</si>
  <si>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</si>
  <si>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</si>
  <si>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</si>
  <si>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</si>
  <si>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</si>
  <si>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</si>
  <si>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</si>
  <si>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</si>
  <si>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</si>
  <si>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</si>
  <si>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</si>
  <si>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</si>
  <si>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</si>
  <si>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</si>
  <si>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</si>
  <si>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</si>
  <si>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</si>
  <si>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</si>
  <si>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</si>
  <si>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</si>
  <si>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</si>
  <si>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</si>
  <si>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</si>
  <si>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</si>
  <si>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</si>
  <si>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</si>
  <si>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</si>
  <si>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</si>
  <si>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</si>
  <si>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</si>
  <si>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</si>
  <si>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</si>
  <si>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</si>
  <si>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</si>
  <si>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</si>
  <si>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</si>
  <si>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</si>
  <si>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</si>
  <si>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</si>
  <si>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</si>
  <si>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</si>
  <si>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</si>
  <si>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</si>
  <si>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</si>
  <si>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</si>
  <si>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</si>
  <si>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</si>
  <si>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</si>
  <si>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</si>
  <si>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</si>
  <si>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</si>
  <si>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</si>
  <si>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</si>
  <si>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</si>
  <si>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</si>
  <si>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</si>
  <si>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</si>
  <si>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</si>
  <si>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</si>
  <si>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</si>
  <si>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</si>
  <si>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</si>
  <si>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</si>
  <si>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</si>
  <si>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</si>
  <si>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</si>
  <si>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</si>
  <si>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</si>
  <si>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</si>
  <si>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</si>
  <si>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</si>
  <si>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</si>
  <si>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</si>
  <si>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</si>
  <si>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</si>
  <si>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</si>
  <si>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</si>
  <si>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</si>
  <si>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</si>
  <si>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</si>
  <si>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</si>
  <si>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</si>
  <si>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</si>
  <si>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</si>
  <si>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</si>
  <si>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</si>
  <si>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</si>
  <si>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</si>
  <si>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</si>
  <si>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</si>
  <si>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</si>
  <si>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</si>
  <si>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</si>
  <si>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</si>
  <si>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</si>
  <si>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</si>
  <si>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</si>
  <si>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</si>
  <si>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</si>
  <si>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</si>
  <si>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</si>
  <si>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</si>
  <si>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</si>
  <si>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</si>
  <si>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</si>
  <si>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</si>
  <si>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</si>
  <si>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</si>
  <si>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</si>
  <si>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</si>
  <si>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</si>
  <si>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</si>
  <si>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</si>
  <si>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</si>
  <si>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</si>
  <si>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</si>
  <si>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</si>
  <si>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</si>
  <si>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</si>
  <si>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</si>
  <si>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</si>
  <si>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</si>
  <si>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</si>
  <si>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</si>
  <si>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</si>
  <si>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</si>
  <si>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</si>
  <si>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</si>
  <si>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</si>
  <si>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</si>
  <si>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</si>
  <si>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</si>
  <si>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</si>
  <si>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</si>
  <si>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</si>
  <si>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</si>
  <si>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</si>
  <si>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</si>
  <si>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</si>
  <si>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</si>
  <si>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</si>
  <si>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</si>
  <si>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</si>
  <si>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</si>
  <si>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</si>
  <si>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</si>
  <si>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</si>
  <si>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</si>
  <si>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</si>
  <si>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</si>
  <si>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</si>
  <si>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</si>
  <si>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</si>
  <si>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</si>
  <si>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</si>
  <si>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</si>
  <si>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</si>
  <si>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</si>
  <si>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</si>
  <si>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</si>
  <si>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</si>
  <si>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</si>
  <si>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</si>
  <si>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</si>
  <si>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</si>
  <si>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</si>
  <si>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</si>
  <si>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</si>
  <si>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</si>
  <si>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</si>
  <si>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</si>
  <si>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</si>
  <si>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</si>
  <si>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</si>
  <si>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</si>
  <si>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</si>
  <si>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</si>
  <si>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</si>
  <si>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</si>
  <si>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</si>
  <si>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</si>
  <si>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</si>
  <si>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</si>
  <si>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</si>
  <si>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</si>
  <si>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</si>
  <si>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</si>
  <si>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</si>
  <si>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</si>
  <si>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</si>
  <si>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</si>
  <si>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</si>
  <si>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</si>
  <si>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</si>
  <si>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</si>
  <si>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</si>
  <si>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</si>
  <si>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</si>
  <si>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</si>
  <si>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</si>
  <si>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</si>
  <si>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</si>
  <si>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</si>
  <si>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</si>
  <si>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</si>
  <si>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</si>
  <si>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</si>
  <si>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</si>
  <si>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</si>
  <si>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</si>
  <si>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</si>
  <si>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</si>
  <si>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</si>
  <si>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</si>
  <si>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</si>
  <si>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</si>
  <si>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</si>
  <si>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</si>
  <si>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</si>
  <si>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</si>
  <si>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</si>
  <si>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</si>
  <si>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</si>
  <si>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</si>
  <si>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</si>
  <si>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</si>
  <si>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</si>
  <si>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</si>
  <si>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</si>
  <si>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</si>
  <si>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</si>
  <si>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</si>
  <si>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</si>
  <si>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</si>
  <si>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</si>
  <si>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</si>
  <si>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</si>
  <si>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</si>
  <si>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</si>
  <si>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</si>
  <si>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</si>
  <si>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</si>
  <si>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</si>
  <si>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</si>
  <si>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</si>
  <si>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</si>
  <si>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</si>
  <si>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</si>
  <si>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</si>
  <si>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</si>
  <si>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</si>
  <si>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</si>
  <si>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</si>
  <si>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</si>
  <si>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</si>
  <si>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</si>
  <si>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</si>
  <si>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</si>
  <si>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</si>
  <si>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</si>
  <si>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</si>
  <si>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</si>
  <si>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</si>
  <si>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</si>
  <si>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</si>
  <si>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</si>
  <si>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</si>
  <si>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</si>
  <si>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</si>
  <si>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</si>
  <si>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</si>
  <si>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</si>
  <si>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</si>
  <si>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</si>
  <si>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</si>
  <si>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</si>
  <si>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</si>
  <si>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</si>
  <si>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</si>
  <si>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</si>
  <si>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</si>
  <si>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</si>
  <si>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</si>
  <si>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</si>
  <si>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</si>
  <si>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</si>
  <si>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</si>
  <si>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</si>
  <si>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</si>
  <si>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</si>
  <si>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</si>
  <si>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</si>
  <si>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</si>
  <si>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</si>
  <si>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</si>
  <si>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</si>
  <si>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</si>
  <si>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</si>
  <si>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</si>
  <si>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</si>
  <si>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</si>
  <si>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</si>
  <si>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</si>
  <si>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</si>
  <si>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</si>
  <si>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</si>
  <si>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</si>
  <si>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</si>
  <si>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</si>
  <si>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</si>
  <si>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</si>
  <si>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</si>
  <si>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</si>
  <si>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</si>
  <si>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</si>
  <si>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</si>
  <si>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</si>
  <si>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</si>
  <si>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</si>
  <si>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</si>
  <si>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</si>
  <si>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</si>
  <si>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</si>
  <si>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</si>
  <si>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</si>
  <si>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</si>
  <si>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</si>
  <si>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</si>
  <si>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</si>
  <si>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</si>
  <si>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</si>
  <si>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</si>
  <si>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</si>
  <si>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</si>
  <si>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</si>
  <si>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</si>
  <si>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</si>
  <si>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</si>
  <si>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</si>
  <si>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</si>
  <si>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</si>
  <si>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</si>
  <si>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</si>
  <si>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</si>
  <si>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</si>
  <si>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</si>
  <si>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</si>
  <si>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</si>
  <si>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</si>
  <si>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</si>
  <si>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</si>
  <si>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</si>
  <si>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</si>
  <si>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</si>
  <si>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</si>
  <si>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</si>
  <si>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</si>
  <si>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</si>
  <si>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</si>
  <si>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</si>
  <si>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</si>
  <si>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</si>
  <si>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</si>
  <si>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</si>
  <si>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</si>
  <si>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</si>
  <si>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</si>
  <si>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</si>
  <si>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</si>
  <si>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</si>
  <si>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</si>
  <si>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</si>
  <si>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</si>
  <si>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</si>
  <si>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</si>
  <si>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</si>
  <si>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</si>
  <si>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</si>
  <si>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</si>
  <si>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</si>
  <si>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</si>
  <si>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</si>
  <si>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</si>
  <si>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</si>
  <si>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</si>
  <si>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</si>
  <si>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</si>
  <si>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</si>
  <si>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</si>
  <si>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</si>
  <si>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</si>
  <si>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</si>
  <si>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</si>
  <si>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</si>
  <si>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</si>
  <si>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</si>
  <si>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</si>
  <si>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</si>
  <si>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</si>
  <si>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</si>
  <si>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</si>
  <si>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</si>
  <si>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</si>
  <si>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</si>
  <si>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</si>
  <si>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</si>
  <si>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</si>
  <si>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</si>
  <si>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</si>
  <si>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</si>
  <si>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</si>
  <si>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</si>
  <si>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</si>
  <si>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</si>
  <si>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</si>
  <si>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</si>
  <si>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</si>
  <si>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</si>
  <si>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</si>
  <si>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</si>
  <si>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</si>
  <si>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</si>
  <si>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</si>
  <si>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</si>
  <si>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</si>
  <si>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</si>
  <si>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</si>
  <si>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</si>
  <si>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</si>
  <si>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</si>
  <si>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</si>
  <si>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</si>
  <si>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</si>
  <si>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</si>
  <si>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</si>
  <si>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</si>
  <si>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</si>
  <si>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</si>
  <si>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</si>
  <si>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</si>
  <si>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</si>
  <si>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</si>
  <si>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</si>
  <si>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</si>
  <si>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</si>
  <si>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</si>
  <si>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</si>
  <si>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</si>
  <si>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</si>
  <si>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</si>
  <si>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</si>
  <si>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</si>
  <si>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</si>
  <si>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</si>
  <si>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</si>
  <si>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</si>
  <si>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</si>
  <si>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</si>
  <si>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</si>
  <si>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</si>
  <si>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</si>
  <si>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</si>
  <si>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</si>
  <si>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</si>
  <si>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</si>
  <si>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</si>
  <si>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</si>
  <si>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</si>
  <si>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</si>
  <si>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</si>
  <si>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</si>
  <si>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</si>
  <si>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</si>
  <si>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</si>
  <si>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</si>
  <si>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</si>
  <si>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</si>
  <si>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</si>
  <si>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</si>
  <si>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</si>
  <si>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</si>
  <si>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</si>
  <si>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</si>
  <si>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</si>
  <si>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</si>
  <si>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</si>
  <si>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</si>
  <si>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</si>
  <si>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</si>
  <si>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</si>
  <si>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</si>
  <si>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</si>
  <si>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</si>
  <si>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</si>
  <si>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</si>
  <si>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</si>
  <si>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</si>
  <si>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</si>
  <si>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</si>
  <si>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</si>
  <si>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</si>
  <si>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</si>
  <si>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</si>
  <si>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</si>
  <si>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</si>
  <si>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</si>
  <si>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</si>
  <si>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</si>
  <si>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</si>
  <si>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</si>
  <si>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</si>
  <si>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</si>
  <si>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</si>
  <si>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</si>
  <si>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</si>
  <si>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</si>
  <si>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</si>
  <si>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</si>
  <si>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</si>
  <si>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</si>
  <si>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</si>
  <si>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</si>
  <si>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</si>
  <si>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</si>
  <si>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</si>
  <si>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</si>
  <si>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</si>
  <si>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</si>
  <si>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</si>
  <si>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</si>
  <si>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</si>
  <si>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</si>
  <si>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</si>
  <si>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</si>
  <si>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</si>
  <si>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</si>
  <si>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</si>
  <si>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</si>
  <si>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</si>
  <si>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</si>
  <si>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</si>
  <si>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</si>
  <si>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</si>
  <si>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</si>
  <si>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</si>
  <si>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</si>
  <si>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</si>
  <si>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</si>
  <si>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</si>
  <si>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</si>
  <si>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</si>
  <si>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</si>
  <si>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</si>
  <si>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</si>
  <si>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</si>
  <si>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</si>
  <si>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</si>
  <si>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</si>
  <si>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</si>
  <si>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</si>
  <si>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</si>
  <si>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</si>
  <si>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</si>
  <si>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</si>
  <si>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</si>
  <si>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</si>
  <si>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</si>
  <si>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</si>
  <si>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</si>
  <si>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</si>
  <si>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</si>
  <si>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</si>
  <si>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</si>
  <si>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</si>
  <si>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</si>
  <si>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</si>
  <si>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</si>
  <si>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</si>
  <si>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</si>
  <si>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</si>
  <si>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</si>
  <si>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</si>
  <si>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</si>
  <si>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</si>
  <si>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</si>
  <si>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</si>
  <si>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</si>
  <si>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</si>
  <si>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</si>
  <si>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</si>
  <si>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</si>
  <si>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</si>
  <si>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</si>
  <si>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</si>
  <si>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</si>
  <si>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</si>
  <si>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</si>
  <si>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</si>
  <si>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</si>
  <si>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</si>
  <si>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</si>
  <si>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</si>
  <si>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</si>
  <si>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</si>
  <si>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</si>
  <si>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</si>
  <si>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</si>
  <si>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</si>
  <si>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</si>
  <si>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</si>
  <si>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</si>
  <si>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</si>
  <si>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</si>
  <si>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</si>
  <si>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</si>
  <si>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</si>
  <si>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</si>
  <si>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</si>
  <si>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</si>
  <si>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</si>
  <si>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</si>
  <si>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</si>
  <si>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</si>
  <si>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</si>
  <si>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</si>
  <si>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</si>
  <si>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</si>
  <si>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</si>
  <si>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</si>
  <si>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</si>
  <si>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</si>
  <si>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</si>
  <si>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</si>
  <si>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</si>
  <si>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</si>
  <si>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</si>
  <si>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</si>
  <si>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</si>
  <si>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</si>
  <si>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</si>
  <si>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</si>
  <si>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</si>
  <si>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</si>
  <si>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</si>
  <si>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</si>
  <si>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</si>
  <si>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</si>
  <si>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</si>
  <si>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</si>
  <si>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</si>
  <si>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</si>
  <si>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</si>
  <si>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</si>
  <si>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</si>
  <si>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</si>
  <si>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</si>
  <si>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</si>
  <si>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</si>
  <si>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</si>
  <si>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</si>
  <si>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</si>
  <si>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</si>
  <si>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</si>
  <si>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</si>
  <si>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</si>
  <si>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</si>
  <si>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</si>
  <si>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</si>
  <si>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</si>
  <si>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</si>
  <si>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</si>
  <si>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</si>
  <si>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</si>
  <si>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</si>
  <si>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</si>
  <si>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</si>
  <si>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</si>
  <si>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</si>
  <si>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</si>
  <si>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</si>
  <si>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</si>
  <si>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</si>
  <si>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</si>
  <si>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</si>
  <si>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</si>
  <si>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</si>
  <si>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</si>
  <si>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</si>
  <si>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</si>
  <si>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</si>
  <si>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</si>
  <si>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</si>
  <si>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</si>
  <si>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</si>
  <si>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</si>
  <si>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</si>
  <si>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</si>
  <si>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</si>
  <si>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</si>
  <si>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</si>
  <si>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</si>
  <si>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</si>
  <si>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</si>
  <si>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</si>
  <si>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</si>
  <si>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</si>
  <si>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</si>
  <si>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</si>
  <si>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</si>
  <si>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</si>
  <si>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</si>
  <si>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</si>
  <si>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</si>
  <si>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</si>
  <si>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</si>
  <si>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</si>
  <si>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</si>
  <si>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</si>
  <si>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</si>
  <si>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</si>
  <si>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</si>
  <si>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</si>
  <si>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</si>
  <si>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</si>
  <si>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</si>
  <si>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</si>
  <si>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</si>
  <si>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</si>
  <si>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</si>
  <si>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</si>
  <si>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</si>
  <si>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</si>
  <si>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</si>
  <si>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</si>
  <si>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</si>
  <si>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</si>
  <si>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</si>
  <si>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</si>
  <si>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</si>
  <si>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</si>
  <si>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</si>
  <si>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</si>
  <si>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</si>
  <si>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</si>
  <si>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</si>
  <si>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</si>
  <si>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</si>
  <si>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</si>
  <si>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</si>
  <si>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</si>
  <si>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</si>
  <si>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</si>
  <si>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</si>
  <si>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</si>
  <si>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</si>
  <si>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</si>
  <si>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</si>
  <si>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</si>
  <si>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</si>
  <si>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</si>
  <si>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</si>
  <si>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</si>
  <si>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</si>
  <si>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</si>
  <si>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</si>
  <si>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</si>
  <si>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</si>
  <si>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</si>
  <si>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</si>
  <si>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</si>
  <si>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</si>
  <si>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</si>
  <si>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</si>
  <si>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</si>
  <si>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</si>
  <si>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</si>
  <si>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</si>
  <si>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</si>
  <si>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</si>
  <si>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</si>
  <si>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</si>
  <si>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</si>
  <si>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</si>
  <si>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</si>
  <si>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</si>
  <si>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</si>
  <si>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</si>
  <si>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</si>
  <si>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</si>
  <si>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</si>
  <si>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</si>
  <si>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</si>
  <si>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</si>
  <si>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</si>
  <si>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</si>
  <si>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</si>
  <si>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</si>
  <si>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</si>
  <si>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</si>
  <si>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</si>
  <si>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</si>
  <si>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</si>
  <si>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</si>
  <si>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</si>
  <si>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</si>
  <si>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</si>
  <si>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</si>
  <si>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</si>
  <si>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</si>
  <si>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</si>
  <si>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</si>
  <si>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</si>
  <si>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</si>
  <si>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</si>
  <si>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</si>
  <si>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</si>
  <si>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</si>
  <si>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</si>
  <si>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</si>
  <si>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</si>
  <si>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</si>
  <si>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</si>
  <si>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</si>
  <si>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</si>
  <si>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</si>
  <si>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</si>
  <si>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</si>
  <si>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</si>
  <si>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</si>
  <si>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</si>
  <si>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</si>
  <si>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</si>
  <si>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</si>
  <si>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</si>
  <si>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</si>
  <si>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</si>
  <si>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</si>
  <si>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</si>
  <si>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</si>
  <si>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</si>
  <si>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</si>
  <si>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</si>
  <si>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</si>
  <si>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</si>
  <si>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</si>
  <si>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</si>
  <si>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</si>
  <si>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</si>
  <si>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</si>
  <si>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</si>
  <si>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</si>
  <si>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</si>
  <si>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</si>
  <si>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</si>
  <si>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</si>
  <si>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</si>
  <si>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</si>
  <si>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</si>
  <si>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</si>
  <si>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</si>
  <si>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</si>
  <si>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</si>
  <si>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</si>
  <si>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</si>
  <si>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</si>
  <si>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</si>
  <si>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</si>
  <si>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</si>
  <si>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</si>
  <si>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</si>
  <si>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</si>
  <si>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</si>
  <si>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</si>
  <si>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</si>
  <si>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</si>
  <si>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</si>
  <si>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</si>
  <si>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</si>
  <si>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</si>
  <si>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</si>
  <si>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</si>
  <si>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</si>
  <si>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</si>
  <si>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</si>
  <si>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</si>
  <si>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</si>
  <si>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</si>
  <si>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</si>
  <si>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</si>
  <si>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</si>
  <si>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</si>
  <si>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</si>
  <si>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</si>
  <si>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</si>
  <si>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</si>
  <si>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</si>
  <si>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</si>
  <si>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</si>
  <si>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</si>
  <si>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</si>
  <si>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</si>
  <si>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</si>
  <si>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</si>
  <si>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</si>
  <si>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</si>
  <si>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</si>
  <si>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</si>
  <si>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</si>
  <si>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</si>
  <si>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</si>
  <si>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</si>
  <si>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</si>
  <si>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</si>
  <si>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</si>
  <si>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</si>
  <si>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</si>
  <si>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</si>
  <si>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</si>
  <si>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</si>
  <si>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</si>
  <si>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</si>
  <si>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</si>
  <si>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</si>
  <si>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</si>
  <si>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</si>
  <si>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</si>
  <si>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</si>
  <si>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</si>
  <si>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</si>
  <si>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</si>
  <si>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</si>
  <si>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</si>
  <si>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</si>
  <si>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</si>
  <si>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</si>
  <si>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</si>
  <si>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</si>
  <si>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</si>
  <si>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</si>
  <si>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</si>
  <si>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</si>
  <si>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</si>
  <si>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</si>
  <si>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</si>
  <si>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</si>
  <si>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</si>
  <si>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</si>
  <si>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</si>
  <si>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</si>
  <si>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</si>
  <si>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</si>
  <si>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</si>
  <si>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</si>
  <si>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</si>
  <si>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</si>
  <si>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</si>
  <si>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</si>
  <si>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</si>
  <si>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</si>
  <si>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</si>
  <si>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</si>
  <si>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</si>
  <si>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</si>
  <si>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</si>
  <si>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</si>
  <si>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</si>
  <si>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</si>
  <si>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</si>
  <si>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</si>
  <si>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</si>
  <si>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</si>
  <si>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</si>
  <si>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</si>
  <si>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</si>
  <si>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</si>
  <si>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</si>
  <si>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</si>
  <si>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</si>
  <si>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</si>
  <si>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</si>
  <si>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</si>
  <si>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</si>
  <si>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</si>
  <si>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</si>
  <si>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</si>
  <si>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</si>
  <si>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</si>
  <si>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</si>
  <si>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</si>
  <si>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</si>
  <si>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</si>
  <si>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</si>
  <si>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</si>
  <si>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</si>
  <si>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</si>
  <si>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</si>
  <si>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</si>
  <si>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</si>
  <si>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</si>
  <si>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</si>
  <si>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</si>
  <si>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</si>
  <si>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</si>
  <si>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</si>
  <si>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</si>
  <si>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</si>
  <si>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</si>
  <si>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</si>
  <si>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</si>
  <si>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</si>
  <si>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</si>
  <si>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</si>
  <si>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</si>
  <si>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</si>
  <si>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</si>
  <si>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</si>
  <si>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</si>
  <si>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</si>
  <si>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</si>
  <si>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</si>
  <si>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</si>
  <si>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</si>
  <si>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</si>
  <si>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</si>
  <si>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</si>
  <si>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</si>
  <si>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</si>
  <si>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</si>
  <si>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</si>
  <si>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</si>
  <si>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</si>
  <si>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</si>
  <si>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</si>
  <si>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</si>
  <si>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</si>
  <si>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</si>
  <si>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</si>
  <si>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</si>
  <si>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</si>
  <si>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</si>
  <si>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</si>
  <si>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</si>
  <si>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</si>
  <si>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</si>
  <si>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</si>
  <si>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</si>
  <si>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</si>
  <si>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</si>
  <si>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</si>
  <si>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</si>
  <si>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</si>
  <si>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</si>
  <si>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</si>
  <si>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</si>
  <si>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</si>
  <si>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</si>
  <si>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</si>
  <si>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</si>
  <si>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</si>
  <si>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</si>
  <si>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</si>
  <si>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</si>
  <si>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</si>
  <si>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</si>
  <si>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</si>
  <si>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</si>
  <si>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</si>
  <si>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</si>
  <si>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</si>
  <si>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</si>
  <si>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</si>
  <si>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</si>
  <si>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</si>
  <si>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</si>
  <si>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</si>
  <si>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</si>
  <si>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</si>
  <si>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</si>
  <si>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</si>
  <si>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</si>
  <si>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</si>
  <si>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</si>
  <si>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</si>
  <si>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</si>
  <si>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</si>
  <si>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</si>
  <si>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</si>
  <si>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</si>
  <si>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</si>
  <si>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</si>
  <si>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</si>
  <si>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</si>
  <si>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</si>
  <si>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</si>
  <si>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</si>
  <si>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</si>
  <si>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</si>
  <si>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</si>
  <si>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</si>
  <si>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</si>
  <si>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</si>
  <si>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</si>
  <si>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</si>
  <si>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</si>
  <si>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</si>
  <si>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</si>
  <si>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</si>
  <si>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</si>
  <si>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</si>
  <si>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</si>
  <si>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</si>
  <si>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</si>
  <si>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</si>
  <si>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</si>
  <si>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</si>
  <si>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</si>
  <si>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</si>
  <si>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</si>
  <si>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</si>
  <si>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</si>
  <si>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</si>
  <si>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</si>
  <si>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</si>
  <si>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</si>
  <si>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</si>
  <si>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</si>
  <si>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</si>
  <si>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</si>
  <si>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</si>
  <si>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</si>
  <si>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</si>
  <si>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</si>
  <si>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</si>
  <si>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</si>
  <si>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</si>
  <si>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</si>
  <si>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</si>
  <si>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</si>
  <si>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</si>
  <si>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</si>
  <si>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</si>
  <si>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</si>
  <si>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</si>
  <si>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</si>
  <si>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</si>
  <si>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</si>
  <si>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</si>
  <si>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</si>
  <si>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</si>
  <si>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</si>
  <si>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</si>
  <si>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</si>
  <si>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</si>
  <si>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</si>
  <si>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</si>
  <si>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</si>
  <si>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</si>
  <si>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</si>
  <si>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</si>
  <si>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</si>
  <si>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</si>
  <si>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</si>
  <si>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</si>
  <si>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</si>
  <si>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</si>
  <si>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</si>
  <si>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</si>
  <si>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</si>
  <si>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</si>
  <si>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</si>
  <si>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</si>
  <si>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</si>
  <si>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</si>
  <si>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</si>
  <si>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</si>
  <si>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</si>
  <si>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</si>
  <si>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</si>
  <si>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</si>
  <si>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</si>
  <si>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</si>
  <si>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</si>
  <si>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</si>
  <si>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</si>
  <si>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</si>
  <si>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</si>
  <si>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</si>
  <si>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</si>
  <si>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</si>
  <si>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</si>
  <si>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</si>
  <si>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</si>
  <si>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</si>
  <si>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</si>
  <si>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</si>
  <si>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</si>
  <si>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</si>
  <si>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</si>
  <si>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</si>
  <si>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</si>
  <si>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</si>
  <si>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</si>
  <si>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</si>
  <si>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</si>
  <si>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</si>
  <si>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</si>
  <si>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</si>
  <si>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</si>
  <si>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</si>
  <si>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</si>
  <si>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</si>
  <si>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</si>
  <si>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</si>
  <si>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</si>
  <si>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</si>
  <si>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</si>
  <si>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</si>
  <si>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</si>
  <si>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</si>
  <si>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</si>
  <si>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</si>
  <si>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</si>
  <si>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</si>
  <si>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</si>
  <si>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</si>
  <si>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</si>
  <si>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</si>
  <si>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</si>
  <si>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</si>
  <si>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</si>
  <si>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</si>
  <si>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</si>
  <si>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</si>
  <si>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</si>
  <si>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</si>
  <si>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</si>
  <si>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</si>
  <si>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</si>
  <si>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</si>
  <si>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</si>
  <si>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</si>
  <si>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</si>
  <si>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</si>
  <si>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</si>
  <si>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</si>
  <si>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</si>
  <si>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</si>
  <si>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</si>
  <si>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</si>
  <si>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</si>
  <si>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</si>
  <si>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</si>
  <si>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</si>
  <si>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</si>
  <si>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</si>
  <si>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</si>
  <si>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</si>
  <si>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</si>
  <si>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</si>
  <si>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</si>
  <si>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</si>
  <si>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</si>
  <si>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</si>
  <si>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</si>
  <si>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</si>
  <si>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</si>
  <si>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</si>
  <si>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</si>
  <si>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</si>
  <si>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</si>
  <si>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</si>
  <si>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</si>
  <si>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</si>
  <si>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</si>
  <si>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</si>
  <si>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</si>
  <si>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</si>
  <si>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</si>
  <si>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</si>
  <si>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</si>
  <si>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</si>
  <si>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</si>
  <si>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</si>
  <si>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</si>
  <si>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</si>
  <si>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</si>
  <si>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</si>
  <si>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</si>
  <si>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</si>
  <si>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</si>
  <si>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</si>
  <si>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</si>
  <si>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</si>
  <si>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</si>
  <si>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</si>
  <si>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</si>
  <si>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</si>
  <si>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</si>
  <si>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</si>
  <si>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</si>
  <si>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</si>
  <si>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</si>
  <si>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</si>
  <si>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</si>
  <si>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</si>
  <si>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</si>
  <si>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</si>
  <si>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</si>
  <si>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</si>
  <si>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</si>
  <si>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</si>
  <si>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</si>
  <si>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</si>
  <si>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</si>
  <si>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</si>
  <si>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</si>
  <si>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</si>
  <si>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</si>
  <si>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</si>
  <si>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</si>
  <si>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</si>
  <si>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</si>
  <si>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</si>
  <si>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</si>
  <si>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</si>
  <si>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</si>
  <si>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</si>
  <si>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</si>
  <si>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</si>
  <si>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</si>
  <si>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</si>
  <si>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</si>
  <si>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</si>
  <si>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</si>
  <si>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</si>
  <si>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</si>
  <si>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</si>
  <si>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</si>
  <si>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</si>
  <si>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</si>
  <si>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</si>
  <si>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</si>
  <si>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</si>
  <si>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</si>
  <si>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</si>
  <si>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</si>
  <si>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公式：PB = PE * ROE，ROE = PB / PE</t>
    <rPh sb="0" eb="1">
      <t>gong's</t>
    </rPh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</si>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</sst>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7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0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07"/>
      <c r="Q11" s="107"/>
      <c r="R11" s="107" t="s">
        <v>54</v>
      </c>
      <c r="S11" s="15">
        <v>43430</v>
      </c>
      <c r="T11" s="10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07" t="s">
        <v>60</v>
      </c>
      <c r="S12" s="25" t="s">
        <v>199</v>
      </c>
      <c r="T12" s="107" t="s">
        <v>200</v>
      </c>
      <c r="U12" s="107" t="s">
        <v>201</v>
      </c>
      <c r="V12" s="107" t="s">
        <v>202</v>
      </c>
      <c r="W12" s="107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07" t="s">
        <v>17</v>
      </c>
      <c r="C13" s="10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39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39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39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07" t="s">
        <v>17</v>
      </c>
      <c r="C16" s="10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39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6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39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6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39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6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39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6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60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39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6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61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39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6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39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6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39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6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60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39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6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61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39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6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39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6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39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6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39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39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6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2" t="s">
        <v>168</v>
      </c>
      <c r="Q30" s="63" t="s">
        <v>190</v>
      </c>
      <c r="R30" s="113">
        <v>0.97160000000000002</v>
      </c>
      <c r="S30" s="140">
        <v>24.92</v>
      </c>
      <c r="T30" s="115">
        <f t="shared" si="2"/>
        <v>25.648414985590779</v>
      </c>
      <c r="U30" s="57">
        <v>2.08</v>
      </c>
      <c r="V30" s="58">
        <f t="shared" si="3"/>
        <v>2.1407986825854262</v>
      </c>
      <c r="W30" s="106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2" t="s">
        <v>169</v>
      </c>
      <c r="Q31" s="63">
        <v>100038</v>
      </c>
      <c r="R31" s="113">
        <v>1.887</v>
      </c>
      <c r="S31" s="140">
        <v>12.57</v>
      </c>
      <c r="T31" s="115">
        <f t="shared" si="2"/>
        <v>6.6613672496025442</v>
      </c>
      <c r="U31" s="57">
        <v>1.52</v>
      </c>
      <c r="V31" s="58">
        <f t="shared" si="3"/>
        <v>0.8055113937466879</v>
      </c>
      <c r="W31" s="106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39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6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39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6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7366</v>
      </c>
      <c r="Q34" s="63">
        <v>110022</v>
      </c>
      <c r="R34" s="64">
        <v>2.4079999999999999</v>
      </c>
      <c r="S34" s="139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6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88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7367</v>
      </c>
      <c r="Q35" s="63">
        <v>110026</v>
      </c>
      <c r="R35" s="64">
        <v>1.7436</v>
      </c>
      <c r="S35" s="139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6">
        <v>8.72E-2</v>
      </c>
      <c r="X35" s="61"/>
      <c r="Y35" s="61"/>
      <c r="Z35" s="88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2" t="s">
        <v>7377</v>
      </c>
      <c r="Q36" s="63" t="s">
        <v>7378</v>
      </c>
      <c r="R36" s="113">
        <v>0.94920000000000004</v>
      </c>
      <c r="S36" s="140">
        <v>54.12</v>
      </c>
      <c r="T36" s="115">
        <f t="shared" si="2"/>
        <v>57.016434892541085</v>
      </c>
      <c r="U36" s="57">
        <v>4.72</v>
      </c>
      <c r="V36" s="58">
        <f t="shared" si="3"/>
        <v>4.9726085124315205</v>
      </c>
      <c r="W36" s="106">
        <v>8.72E-2</v>
      </c>
      <c r="X36" s="61"/>
      <c r="Y36" s="61"/>
      <c r="Z36" s="88"/>
    </row>
    <row r="37" spans="1:27">
      <c r="A37" s="3">
        <v>43235</v>
      </c>
      <c r="B37" s="107" t="s">
        <v>23</v>
      </c>
      <c r="C37" s="10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5">
        <v>8.99</v>
      </c>
      <c r="T37" s="58">
        <f t="shared" si="2"/>
        <v>8.3148353681095077</v>
      </c>
      <c r="U37" s="105">
        <v>1.1499999999999999</v>
      </c>
      <c r="V37" s="58">
        <f t="shared" si="3"/>
        <v>1.0636330003699592</v>
      </c>
      <c r="W37" s="106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07" t="s">
        <v>20</v>
      </c>
      <c r="C38" s="10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3">
        <v>1.0720000000000001</v>
      </c>
      <c r="S38" s="114">
        <v>14.33</v>
      </c>
      <c r="T38" s="115">
        <f t="shared" si="2"/>
        <v>13.367537313432836</v>
      </c>
      <c r="U38" s="105">
        <v>1.53</v>
      </c>
      <c r="V38" s="58">
        <f t="shared" si="3"/>
        <v>1.4272388059701493</v>
      </c>
      <c r="W38" s="106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07" t="s">
        <v>21</v>
      </c>
      <c r="C39" s="10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5">
        <v>10.91</v>
      </c>
      <c r="T39" s="58">
        <f t="shared" si="2"/>
        <v>7.1456641341367568</v>
      </c>
      <c r="U39" s="105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07" t="s">
        <v>22</v>
      </c>
      <c r="C40" s="10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7380</v>
      </c>
      <c r="Q40" s="63" t="s">
        <v>7382</v>
      </c>
      <c r="R40" s="64">
        <v>1.228</v>
      </c>
      <c r="S40" s="57"/>
      <c r="T40" s="58"/>
      <c r="U40" s="57"/>
      <c r="V40" s="58"/>
      <c r="W40" s="58"/>
      <c r="X40" s="98"/>
      <c r="Y40" s="98"/>
      <c r="Z40" s="97">
        <f>(SUMIF(C:C,"=海外互联网",M:M)*-1)/$Q$2</f>
        <v>1.6E-2</v>
      </c>
    </row>
    <row r="41" spans="1:27">
      <c r="A41" s="3">
        <v>43245</v>
      </c>
      <c r="B41" s="107" t="s">
        <v>23</v>
      </c>
      <c r="C41" s="10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07"/>
      <c r="T41" s="107"/>
      <c r="U41" s="107"/>
      <c r="V41" s="107"/>
      <c r="W41" s="107"/>
      <c r="X41" s="2"/>
      <c r="Y41" s="72"/>
      <c r="Z41" s="97">
        <f>(SUMIF(C:C,"=国债",M:M)*-1)/$Q$2</f>
        <v>-1.1850999999999999E-3</v>
      </c>
    </row>
    <row r="42" spans="1:27">
      <c r="A42" s="3">
        <v>43250</v>
      </c>
      <c r="B42" s="107" t="s">
        <v>18</v>
      </c>
      <c r="C42" s="10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7391</v>
      </c>
      <c r="R42" s="64">
        <v>1.4430000000000001</v>
      </c>
      <c r="S42" s="107"/>
      <c r="T42" s="107"/>
      <c r="U42" s="107"/>
      <c r="V42" s="107"/>
      <c r="W42" s="10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07" t="s">
        <v>31</v>
      </c>
      <c r="C43" s="10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7393</v>
      </c>
      <c r="Q43" s="63">
        <v>340001</v>
      </c>
      <c r="R43" s="64">
        <v>3.7652000000000001</v>
      </c>
      <c r="S43" s="107"/>
      <c r="T43" s="107"/>
      <c r="U43" s="107"/>
      <c r="V43" s="107"/>
      <c r="W43" s="107"/>
      <c r="X43" s="2"/>
      <c r="Y43" s="72"/>
      <c r="Z43" s="160">
        <f>(SUMIF(C:C,"=可转债",M:M)*-1)/$Q$2</f>
        <v>5.6000000000000001E-2</v>
      </c>
    </row>
    <row r="44" spans="1:27">
      <c r="A44" s="3">
        <v>43265</v>
      </c>
      <c r="B44" s="107" t="s">
        <v>18</v>
      </c>
      <c r="C44" s="10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7392</v>
      </c>
      <c r="Q44" s="63" t="s">
        <v>7394</v>
      </c>
      <c r="R44" s="64">
        <v>2.3437000000000001</v>
      </c>
      <c r="S44" s="107"/>
      <c r="T44" s="107"/>
      <c r="U44" s="107"/>
      <c r="V44" s="107"/>
      <c r="W44" s="107"/>
      <c r="X44" s="103"/>
      <c r="Y44" s="103"/>
      <c r="Z44" s="161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7389</v>
      </c>
      <c r="Q45" s="63" t="s">
        <v>7390</v>
      </c>
      <c r="R45" s="64">
        <v>2.5649999999999999</v>
      </c>
      <c r="S45" s="107"/>
      <c r="T45" s="107"/>
      <c r="U45" s="107"/>
      <c r="V45" s="107"/>
      <c r="W45" s="107"/>
      <c r="X45" s="103"/>
      <c r="Y45" s="103"/>
      <c r="Z45" s="161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7387</v>
      </c>
      <c r="Q46" s="63" t="s">
        <v>7388</v>
      </c>
      <c r="R46" s="113">
        <v>0.504</v>
      </c>
      <c r="S46" s="111"/>
      <c r="T46" s="111"/>
      <c r="U46" s="107"/>
      <c r="V46" s="107"/>
      <c r="W46" s="107"/>
      <c r="X46" s="100"/>
      <c r="Y46" s="100"/>
      <c r="Z46" s="99">
        <f>(SUMIF(C:C,"=原油",M:M)*-1)/$Q$2</f>
        <v>1.6E-2</v>
      </c>
    </row>
    <row r="47" spans="1:27">
      <c r="A47" s="3">
        <v>43270</v>
      </c>
      <c r="B47" s="107" t="s">
        <v>39</v>
      </c>
      <c r="C47" s="10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07"/>
      <c r="T47" s="107"/>
      <c r="U47" s="107"/>
      <c r="V47" s="107"/>
      <c r="W47" s="10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07" t="s">
        <v>18</v>
      </c>
      <c r="C48" s="10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07"/>
      <c r="T48" s="107"/>
      <c r="U48" s="107"/>
      <c r="V48" s="107"/>
      <c r="W48" s="10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07" t="s">
        <v>18</v>
      </c>
      <c r="C49" s="10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07"/>
      <c r="S49" s="2"/>
      <c r="T49" s="107"/>
      <c r="U49" s="107"/>
      <c r="V49" s="107"/>
      <c r="W49" s="107"/>
      <c r="X49" s="2"/>
      <c r="Y49" s="72"/>
      <c r="Z49" s="59">
        <f>1-SUM(Z13:Z48)</f>
        <v>0.1173449124999999</v>
      </c>
    </row>
    <row r="50" spans="1:26">
      <c r="A50" s="3">
        <v>43270</v>
      </c>
      <c r="B50" s="107" t="s">
        <v>31</v>
      </c>
      <c r="C50" s="10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07"/>
      <c r="S50" s="100"/>
      <c r="T50" s="107"/>
      <c r="U50" s="107"/>
      <c r="V50" s="107"/>
      <c r="W50" s="107"/>
      <c r="X50" s="100"/>
      <c r="Y50" s="100"/>
      <c r="Z50" s="99"/>
    </row>
    <row r="51" spans="1:26">
      <c r="A51" s="3">
        <v>43270</v>
      </c>
      <c r="B51" s="107" t="s">
        <v>22</v>
      </c>
      <c r="C51" s="10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07"/>
      <c r="S51" s="107"/>
      <c r="T51" s="107"/>
      <c r="U51" s="107"/>
      <c r="V51" s="107"/>
      <c r="W51" s="107"/>
      <c r="X51" s="100"/>
      <c r="Y51" s="100"/>
      <c r="Z51" s="99"/>
    </row>
    <row r="52" spans="1:26">
      <c r="A52" s="3">
        <v>43271</v>
      </c>
      <c r="B52" s="107" t="s">
        <v>40</v>
      </c>
      <c r="C52" s="10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07"/>
      <c r="Q52" s="107"/>
      <c r="R52" s="107"/>
      <c r="S52" s="107"/>
      <c r="T52" s="107"/>
      <c r="U52" s="107"/>
      <c r="V52" s="107"/>
      <c r="W52" s="107"/>
    </row>
    <row r="53" spans="1:26">
      <c r="A53" s="3">
        <v>43279</v>
      </c>
      <c r="B53" s="107" t="s">
        <v>39</v>
      </c>
      <c r="C53" s="10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07"/>
      <c r="Q53" s="107"/>
      <c r="R53" s="107" t="s">
        <v>118</v>
      </c>
      <c r="S53" s="107"/>
      <c r="T53" s="107"/>
      <c r="U53" s="107"/>
      <c r="V53" s="107"/>
      <c r="W53" s="10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07"/>
      <c r="Q54" s="107" t="s">
        <v>7348</v>
      </c>
      <c r="R54" s="107" t="s">
        <v>160</v>
      </c>
      <c r="S54" s="107" t="s">
        <v>161</v>
      </c>
      <c r="T54" s="107" t="s">
        <v>162</v>
      </c>
      <c r="U54" s="107" t="s">
        <v>163</v>
      </c>
      <c r="V54" s="107"/>
      <c r="W54" s="10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07">
        <v>0</v>
      </c>
      <c r="R55" s="107">
        <v>93506.63</v>
      </c>
      <c r="S55" s="107">
        <f>$Q$2-R55</f>
        <v>706493.37</v>
      </c>
      <c r="T55" s="107">
        <v>0</v>
      </c>
      <c r="U55" s="60">
        <v>3.5000000000000003E-2</v>
      </c>
      <c r="V55" s="60"/>
      <c r="W55" s="10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07"/>
      <c r="V56" s="107"/>
      <c r="W56" s="10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07"/>
      <c r="V57" s="107"/>
      <c r="W57" s="10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07"/>
      <c r="V58" s="107"/>
      <c r="W58" s="10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07"/>
      <c r="V59" s="107"/>
      <c r="W59" s="10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07"/>
      <c r="V60" s="107"/>
      <c r="W60" s="10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07"/>
      <c r="V61" s="107"/>
      <c r="W61" s="107"/>
    </row>
    <row r="62" spans="1:26">
      <c r="A62" s="3">
        <v>43297</v>
      </c>
      <c r="B62" s="107" t="s">
        <v>23</v>
      </c>
      <c r="C62" s="10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07"/>
      <c r="V62" s="107"/>
      <c r="W62" s="10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07"/>
      <c r="V63" s="107"/>
      <c r="W63" s="107"/>
    </row>
    <row r="64" spans="1:26">
      <c r="A64" s="3">
        <v>43313</v>
      </c>
      <c r="B64" s="107" t="s">
        <v>19</v>
      </c>
      <c r="C64" s="10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07"/>
      <c r="V64" s="107"/>
      <c r="W64" s="107"/>
    </row>
    <row r="65" spans="1:22">
      <c r="A65" s="3">
        <v>43313</v>
      </c>
      <c r="B65" s="107" t="s">
        <v>18</v>
      </c>
      <c r="C65" s="10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07"/>
      <c r="V65" s="107"/>
    </row>
    <row r="66" spans="1:22">
      <c r="A66" s="3">
        <v>43318</v>
      </c>
      <c r="B66" s="107" t="s">
        <v>19</v>
      </c>
      <c r="C66" s="10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07"/>
      <c r="V66" s="107"/>
    </row>
    <row r="67" spans="1:22">
      <c r="A67" s="3">
        <v>43318</v>
      </c>
      <c r="B67" s="107" t="s">
        <v>18</v>
      </c>
      <c r="C67" s="10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07" t="s">
        <v>7494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07" t="s">
        <v>17</v>
      </c>
      <c r="C69" s="10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08" t="s">
        <v>64</v>
      </c>
      <c r="C73" s="10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7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7"/>
      <c r="R75" s="87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07"/>
      <c r="Q76" s="87"/>
      <c r="R76" s="87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7"/>
      <c r="R77" s="87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7"/>
      <c r="R78" s="87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7"/>
      <c r="R79" s="87"/>
    </row>
    <row r="80" spans="1:22">
      <c r="A80" s="3">
        <v>43343</v>
      </c>
      <c r="B80" s="108" t="s">
        <v>64</v>
      </c>
      <c r="C80" s="10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7"/>
      <c r="R80" s="87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07"/>
      <c r="Q81" s="87"/>
      <c r="R81" s="87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7"/>
      <c r="R82" s="87"/>
    </row>
    <row r="83" spans="1:30">
      <c r="A83" s="3">
        <v>43347</v>
      </c>
      <c r="B83" s="108" t="s">
        <v>64</v>
      </c>
      <c r="C83" s="10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7"/>
      <c r="R83" s="87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7"/>
      <c r="R84" s="87"/>
      <c r="S84" s="90"/>
    </row>
    <row r="85" spans="1:30">
      <c r="A85" s="3">
        <v>43357</v>
      </c>
      <c r="B85" s="107" t="s">
        <v>18</v>
      </c>
      <c r="C85" s="10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7"/>
      <c r="R85" s="87"/>
      <c r="S85" s="90"/>
      <c r="AA85" s="87"/>
      <c r="AB85" s="87"/>
      <c r="AC85" s="87"/>
      <c r="AD85" s="87"/>
    </row>
    <row r="86" spans="1:30">
      <c r="A86" s="3">
        <v>43371</v>
      </c>
      <c r="B86" s="107" t="s">
        <v>210</v>
      </c>
      <c r="C86" s="10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7"/>
      <c r="R86" s="87"/>
      <c r="S86" s="90"/>
    </row>
    <row r="87" spans="1:30">
      <c r="A87" s="3">
        <v>43371</v>
      </c>
      <c r="B87" s="107" t="s">
        <v>31</v>
      </c>
      <c r="C87" s="10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07"/>
      <c r="Q87" s="87"/>
      <c r="R87" s="87"/>
      <c r="S87" s="90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7"/>
      <c r="R88" s="87"/>
      <c r="S88" s="96"/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7"/>
      <c r="R89" s="87"/>
      <c r="S89" s="134"/>
    </row>
    <row r="90" spans="1:30">
      <c r="A90" s="3">
        <v>43371</v>
      </c>
      <c r="B90" s="107" t="s">
        <v>40</v>
      </c>
      <c r="C90" s="10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7"/>
      <c r="R90" s="87"/>
      <c r="S90" s="134"/>
    </row>
    <row r="91" spans="1:30">
      <c r="A91" s="3">
        <v>43384</v>
      </c>
      <c r="B91" s="107" t="s">
        <v>18</v>
      </c>
      <c r="C91" s="10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07"/>
      <c r="R91" s="87"/>
      <c r="S91" s="134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7"/>
      <c r="R92" s="87"/>
    </row>
    <row r="93" spans="1:30">
      <c r="A93" s="3">
        <v>43388</v>
      </c>
      <c r="B93" s="107" t="s">
        <v>22</v>
      </c>
      <c r="C93" s="10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7"/>
      <c r="R93" s="87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7"/>
      <c r="R94" s="87"/>
      <c r="T94" s="87"/>
      <c r="U94" s="87"/>
      <c r="V94" s="87"/>
      <c r="W94" s="87"/>
      <c r="X94" s="87"/>
      <c r="Y94" s="87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7"/>
      <c r="R95" s="87"/>
      <c r="T95" s="137"/>
      <c r="V95" s="15"/>
    </row>
    <row r="96" spans="1:30">
      <c r="A96" s="91">
        <v>43403</v>
      </c>
      <c r="B96" s="91" t="s">
        <v>4</v>
      </c>
      <c r="C96" s="91" t="s">
        <v>129</v>
      </c>
      <c r="D96" s="91" t="s">
        <v>11</v>
      </c>
      <c r="E96" s="92">
        <v>0.95799999999999996</v>
      </c>
      <c r="F96" s="92">
        <v>2.536</v>
      </c>
      <c r="G96" s="93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7"/>
      <c r="R96" s="87"/>
      <c r="T96" s="137"/>
      <c r="V96" s="15"/>
    </row>
    <row r="97" spans="1:22">
      <c r="A97" s="3">
        <v>43403</v>
      </c>
      <c r="B97" s="94" t="s">
        <v>210</v>
      </c>
      <c r="C97" s="94" t="s">
        <v>157</v>
      </c>
      <c r="D97" s="91" t="s">
        <v>11</v>
      </c>
      <c r="E97" s="92">
        <v>1.5649999999999999</v>
      </c>
      <c r="F97" s="92">
        <v>1.5649999999999999</v>
      </c>
      <c r="G97" s="93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7"/>
      <c r="R97" s="87"/>
      <c r="T97" s="137"/>
      <c r="V97" s="15"/>
    </row>
    <row r="98" spans="1:22">
      <c r="A98" s="3">
        <v>43403</v>
      </c>
      <c r="B98" s="107" t="s">
        <v>7368</v>
      </c>
      <c r="C98" s="107" t="s">
        <v>7369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7"/>
      <c r="R98" s="87"/>
      <c r="T98" s="137"/>
      <c r="V98" s="15"/>
    </row>
    <row r="99" spans="1:22">
      <c r="A99" s="3">
        <v>43403</v>
      </c>
      <c r="B99" s="107" t="s">
        <v>7370</v>
      </c>
      <c r="C99" s="107" t="s">
        <v>7371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7"/>
      <c r="R99" s="87"/>
      <c r="T99" s="137"/>
      <c r="V99" s="15"/>
    </row>
    <row r="100" spans="1:22">
      <c r="A100" s="3">
        <v>43403</v>
      </c>
      <c r="B100" s="89" t="s">
        <v>7372</v>
      </c>
      <c r="C100" s="89" t="s">
        <v>40</v>
      </c>
      <c r="D100" s="3" t="s">
        <v>7373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7"/>
      <c r="R100" s="87"/>
      <c r="T100" s="137"/>
      <c r="V100" s="15"/>
    </row>
    <row r="101" spans="1:22">
      <c r="A101" s="3">
        <v>43403</v>
      </c>
      <c r="B101" s="89" t="s">
        <v>31</v>
      </c>
      <c r="C101" s="89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7"/>
      <c r="R101" s="87"/>
      <c r="T101" s="137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7"/>
      <c r="R102" s="87"/>
      <c r="T102" s="137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7"/>
      <c r="R103" s="87"/>
      <c r="T103" s="137"/>
      <c r="V103" s="15"/>
    </row>
    <row r="104" spans="1:22">
      <c r="A104" s="91">
        <v>43419</v>
      </c>
      <c r="B104" s="91" t="s">
        <v>4</v>
      </c>
      <c r="C104" s="91" t="s">
        <v>129</v>
      </c>
      <c r="D104" s="91" t="s">
        <v>11</v>
      </c>
      <c r="E104" s="92">
        <v>0.99199999999999999</v>
      </c>
      <c r="F104" s="92">
        <v>2.5739999999999998</v>
      </c>
      <c r="G104" s="93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7"/>
      <c r="R104" s="87"/>
      <c r="T104" s="137"/>
      <c r="V104" s="15"/>
    </row>
    <row r="105" spans="1:22">
      <c r="A105" s="91">
        <v>43419</v>
      </c>
      <c r="B105" s="70" t="s">
        <v>7379</v>
      </c>
      <c r="C105" s="70" t="s">
        <v>7381</v>
      </c>
      <c r="D105" s="9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7"/>
      <c r="R105" s="87"/>
      <c r="T105" s="137"/>
      <c r="V105" s="15"/>
    </row>
    <row r="106" spans="1:22">
      <c r="A106" s="91">
        <v>43420</v>
      </c>
      <c r="B106" s="107" t="s">
        <v>7368</v>
      </c>
      <c r="C106" s="107" t="s">
        <v>7369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1">
        <v>0</v>
      </c>
      <c r="N106" s="4">
        <v>0</v>
      </c>
      <c r="O106" s="4"/>
      <c r="P106" s="3"/>
      <c r="Q106" s="87"/>
      <c r="R106" s="87"/>
      <c r="T106" s="138"/>
      <c r="V106" s="15"/>
    </row>
    <row r="107" spans="1:22">
      <c r="A107" s="91">
        <v>43420</v>
      </c>
      <c r="B107" s="94" t="s">
        <v>210</v>
      </c>
      <c r="C107" s="94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1">
        <v>0</v>
      </c>
      <c r="N107" s="4">
        <v>0</v>
      </c>
      <c r="O107" s="4"/>
      <c r="P107" s="3"/>
      <c r="Q107" s="87"/>
      <c r="R107" s="87"/>
      <c r="T107" s="138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7"/>
      <c r="R108" s="87"/>
      <c r="T108" s="138"/>
      <c r="U108" s="15"/>
      <c r="V108" s="15"/>
    </row>
    <row r="109" spans="1:22">
      <c r="A109" s="3">
        <v>43434</v>
      </c>
      <c r="B109" s="100" t="s">
        <v>7368</v>
      </c>
      <c r="C109" s="100" t="s">
        <v>7369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7"/>
      <c r="R109" s="87"/>
      <c r="T109" s="138"/>
      <c r="U109" s="15"/>
      <c r="V109" s="15"/>
    </row>
    <row r="110" spans="1:22">
      <c r="A110" s="3">
        <v>43434</v>
      </c>
      <c r="B110" s="94" t="s">
        <v>7383</v>
      </c>
      <c r="C110" s="94" t="s">
        <v>7384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7"/>
      <c r="R110" s="87"/>
      <c r="T110" s="138"/>
      <c r="U110" s="15"/>
      <c r="V110" s="15"/>
    </row>
    <row r="111" spans="1:22">
      <c r="A111" s="3">
        <v>43434</v>
      </c>
      <c r="B111" s="94" t="s">
        <v>7385</v>
      </c>
      <c r="C111" s="94" t="s">
        <v>7386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7"/>
      <c r="R111" s="87"/>
      <c r="T111" s="138"/>
      <c r="U111" s="15"/>
      <c r="V111" s="15"/>
    </row>
    <row r="112" spans="1:22">
      <c r="A112" s="3">
        <v>43434</v>
      </c>
      <c r="B112" s="100" t="s">
        <v>31</v>
      </c>
      <c r="C112" s="100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7"/>
      <c r="R112" s="87"/>
      <c r="T112" s="138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7"/>
      <c r="R113" s="87"/>
      <c r="T113" s="138"/>
      <c r="U113" s="15"/>
      <c r="V113" s="15"/>
    </row>
    <row r="114" spans="1:22">
      <c r="A114" s="3">
        <v>43461</v>
      </c>
      <c r="B114" s="94" t="s">
        <v>7385</v>
      </c>
      <c r="C114" s="94" t="s">
        <v>7386</v>
      </c>
      <c r="D114" s="3" t="s">
        <v>11</v>
      </c>
      <c r="E114" s="92">
        <v>0.46700000000000003</v>
      </c>
      <c r="F114" s="92">
        <v>0.46700000000000003</v>
      </c>
      <c r="G114" s="93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7"/>
      <c r="R114" s="87"/>
      <c r="T114" s="138"/>
      <c r="U114" s="15"/>
      <c r="V114" s="15"/>
    </row>
    <row r="115" spans="1:22">
      <c r="A115" s="3">
        <v>43461</v>
      </c>
      <c r="B115" s="91" t="s">
        <v>4</v>
      </c>
      <c r="C115" s="91" t="s">
        <v>129</v>
      </c>
      <c r="D115" s="91" t="s">
        <v>11</v>
      </c>
      <c r="E115" s="92">
        <v>0.95799999999999996</v>
      </c>
      <c r="F115" s="92">
        <v>2.536</v>
      </c>
      <c r="G115" s="93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7"/>
      <c r="R115" s="87"/>
      <c r="T115" s="138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7"/>
      <c r="R116" s="87"/>
      <c r="T116" s="138"/>
      <c r="U116" s="15"/>
      <c r="V116" s="15"/>
    </row>
    <row r="117" spans="1:22">
      <c r="A117" s="3">
        <v>43480</v>
      </c>
      <c r="B117" s="107" t="s">
        <v>7395</v>
      </c>
      <c r="C117" s="10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7"/>
      <c r="R117" s="87"/>
      <c r="T117" s="138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7"/>
      <c r="R118" s="87"/>
      <c r="T118" s="138"/>
      <c r="U118" s="15"/>
      <c r="V118" s="15"/>
    </row>
    <row r="119" spans="1:22">
      <c r="A119" s="3">
        <v>43496</v>
      </c>
      <c r="B119" s="94" t="s">
        <v>210</v>
      </c>
      <c r="C119" s="94" t="s">
        <v>157</v>
      </c>
      <c r="D119" s="91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7"/>
      <c r="R119" s="87"/>
      <c r="T119" s="138"/>
      <c r="U119" s="15"/>
      <c r="V119" s="15"/>
    </row>
    <row r="120" spans="1:22">
      <c r="A120" s="3">
        <v>43496</v>
      </c>
      <c r="B120" s="107" t="s">
        <v>7396</v>
      </c>
      <c r="C120" s="10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7"/>
      <c r="R120" s="87"/>
      <c r="T120" s="138"/>
      <c r="U120" s="15"/>
      <c r="V120" s="15"/>
    </row>
    <row r="121" spans="1:22">
      <c r="A121" s="3">
        <v>43531</v>
      </c>
      <c r="B121" s="107" t="s">
        <v>18</v>
      </c>
      <c r="C121" s="10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09">
        <v>8163.4</v>
      </c>
      <c r="N121" s="110">
        <v>1.63</v>
      </c>
      <c r="P121" s="3"/>
      <c r="Q121" s="87"/>
      <c r="R121" s="87"/>
      <c r="T121" s="138"/>
      <c r="U121" s="15"/>
      <c r="V121" s="15"/>
    </row>
    <row r="122" spans="1:22">
      <c r="A122" s="3"/>
      <c r="B122" s="100"/>
      <c r="C122" s="100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7"/>
      <c r="R122" s="87"/>
      <c r="T122" s="138"/>
      <c r="U122" s="15"/>
      <c r="V122" s="15"/>
    </row>
    <row r="123" spans="1:22">
      <c r="A123" s="3"/>
      <c r="B123" s="98"/>
      <c r="C123" s="98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7"/>
      <c r="R123" s="87"/>
      <c r="T123" s="138"/>
      <c r="U123" s="15"/>
      <c r="V123" s="15"/>
    </row>
    <row r="124" spans="1:22">
      <c r="A124" s="3"/>
      <c r="B124" s="98"/>
      <c r="C124" s="98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7"/>
      <c r="R124" s="87"/>
      <c r="T124" s="138"/>
      <c r="U124" s="15"/>
      <c r="V124" s="15"/>
    </row>
    <row r="125" spans="1:22">
      <c r="A125" s="3"/>
      <c r="B125" s="98"/>
      <c r="C125" s="98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7"/>
      <c r="R125" s="87"/>
      <c r="T125" s="138"/>
      <c r="U125" s="15"/>
      <c r="V125" s="15"/>
    </row>
    <row r="126" spans="1:22">
      <c r="A126" s="3"/>
      <c r="B126" s="98"/>
      <c r="C126" s="98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7"/>
      <c r="R126" s="87"/>
      <c r="T126" s="137"/>
      <c r="U126" s="15"/>
      <c r="V126" s="15"/>
    </row>
    <row r="127" spans="1:22">
      <c r="A127" s="3"/>
      <c r="B127" s="98"/>
      <c r="C127" s="98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7"/>
      <c r="R127" s="87"/>
      <c r="T127" s="137"/>
      <c r="U127" s="15"/>
      <c r="V127" s="15"/>
    </row>
    <row r="128" spans="1:22">
      <c r="A128" s="3"/>
      <c r="B128" s="98"/>
      <c r="C128" s="98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7"/>
      <c r="R128" s="87"/>
      <c r="T128" s="137"/>
      <c r="U128" s="15"/>
      <c r="V128" s="15"/>
    </row>
    <row r="129" spans="1:22">
      <c r="A129" s="3"/>
      <c r="B129" s="98"/>
      <c r="C129" s="98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7"/>
      <c r="R129" s="87"/>
      <c r="T129" s="137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98"/>
      <c r="C131" s="98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98"/>
      <c r="C132" s="98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98"/>
      <c r="C133" s="98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98"/>
      <c r="C134" s="98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98"/>
      <c r="C135" s="98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98"/>
      <c r="C136" s="98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>
      <selection activeCell="E2" sqref="E2:E23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6" t="s">
        <v>7495</v>
      </c>
      <c r="B1" s="123" t="s">
        <v>7539</v>
      </c>
      <c r="C1" s="116" t="s">
        <v>7496</v>
      </c>
      <c r="D1" s="123" t="s">
        <v>7540</v>
      </c>
      <c r="E1" s="117" t="s">
        <v>7497</v>
      </c>
      <c r="F1" s="117" t="s">
        <v>7498</v>
      </c>
      <c r="G1" s="117" t="s">
        <v>7499</v>
      </c>
      <c r="H1" s="117" t="s">
        <v>7500</v>
      </c>
      <c r="I1" s="117" t="s">
        <v>7501</v>
      </c>
      <c r="J1" s="117" t="s">
        <v>7502</v>
      </c>
      <c r="K1" s="117" t="s">
        <v>7541</v>
      </c>
      <c r="L1" s="118"/>
      <c r="M1" s="117" t="s">
        <v>7544</v>
      </c>
      <c r="O1" s="123" t="s">
        <v>7546</v>
      </c>
      <c r="P1" s="123"/>
    </row>
    <row r="2" spans="1:16">
      <c r="A2" s="161" t="s">
        <v>7503</v>
      </c>
      <c r="B2" s="160">
        <f>SUM(K2:K14)</f>
        <v>0.51281516291592033</v>
      </c>
      <c r="C2" s="161" t="s">
        <v>7504</v>
      </c>
      <c r="D2" s="160">
        <f>SUM(K2:K3)</f>
        <v>4.6006488779477286E-2</v>
      </c>
      <c r="E2" s="117" t="s">
        <v>7505</v>
      </c>
      <c r="F2" s="119">
        <v>7497.9</v>
      </c>
      <c r="G2" s="119"/>
      <c r="H2" s="119"/>
      <c r="I2" s="119"/>
      <c r="J2" s="119">
        <f>SUM(F2:I2)</f>
        <v>7497.9</v>
      </c>
      <c r="K2" s="120">
        <f t="shared" ref="K2:K26" si="0">J2/$J$26</f>
        <v>5.9096741315878935E-3</v>
      </c>
      <c r="L2" s="118"/>
      <c r="M2" s="117">
        <f>M4+M6+M8+M10</f>
        <v>1198159.49</v>
      </c>
      <c r="O2" s="123" t="s">
        <v>7547</v>
      </c>
      <c r="P2" s="123" t="s">
        <v>7548</v>
      </c>
    </row>
    <row r="3" spans="1:16">
      <c r="A3" s="161"/>
      <c r="B3" s="161"/>
      <c r="C3" s="161"/>
      <c r="D3" s="161"/>
      <c r="E3" s="117" t="s">
        <v>7506</v>
      </c>
      <c r="F3" s="119">
        <v>28334.6</v>
      </c>
      <c r="G3" s="119">
        <v>22538.240000000002</v>
      </c>
      <c r="H3" s="119"/>
      <c r="I3" s="119"/>
      <c r="J3" s="119">
        <f t="shared" ref="J3:J23" si="1">SUM(F3:I3)</f>
        <v>50872.84</v>
      </c>
      <c r="K3" s="120">
        <f t="shared" si="0"/>
        <v>4.0096814647889389E-2</v>
      </c>
      <c r="L3" s="118"/>
      <c r="M3" s="117" t="s">
        <v>7545</v>
      </c>
      <c r="N3" s="118"/>
      <c r="O3" s="117" t="s">
        <v>7503</v>
      </c>
      <c r="P3" s="121">
        <f>B2</f>
        <v>0.51281516291592033</v>
      </c>
    </row>
    <row r="4" spans="1:16">
      <c r="A4" s="161"/>
      <c r="B4" s="161"/>
      <c r="C4" s="161" t="s">
        <v>7507</v>
      </c>
      <c r="D4" s="160">
        <f>SUM(K4:K6)</f>
        <v>0.20036978753957366</v>
      </c>
      <c r="E4" s="117" t="s">
        <v>7508</v>
      </c>
      <c r="F4" s="119">
        <v>175240.2</v>
      </c>
      <c r="G4" s="119">
        <v>16345.39</v>
      </c>
      <c r="H4" s="119"/>
      <c r="I4" s="119"/>
      <c r="J4" s="119">
        <f>SUM(F4:I4)</f>
        <v>191585.59000000003</v>
      </c>
      <c r="K4" s="120">
        <f t="shared" si="0"/>
        <v>0.15100340164686171</v>
      </c>
      <c r="L4" s="118"/>
      <c r="M4" s="117">
        <v>800000</v>
      </c>
      <c r="N4" s="118"/>
      <c r="O4" s="123" t="s">
        <v>7520</v>
      </c>
      <c r="P4" s="60">
        <f>B15</f>
        <v>1.599010635789792E-2</v>
      </c>
    </row>
    <row r="5" spans="1:16">
      <c r="A5" s="161"/>
      <c r="B5" s="161"/>
      <c r="C5" s="161"/>
      <c r="D5" s="161"/>
      <c r="E5" s="117" t="s">
        <v>7509</v>
      </c>
      <c r="F5" s="119">
        <v>39366.6</v>
      </c>
      <c r="G5" s="119"/>
      <c r="H5" s="119"/>
      <c r="I5" s="119"/>
      <c r="J5" s="119">
        <f t="shared" si="1"/>
        <v>39366.6</v>
      </c>
      <c r="K5" s="120">
        <f t="shared" si="0"/>
        <v>3.1027858156092773E-2</v>
      </c>
      <c r="L5" s="118"/>
      <c r="M5" s="117" t="s">
        <v>7542</v>
      </c>
      <c r="N5" s="118"/>
      <c r="O5" s="123" t="s">
        <v>7524</v>
      </c>
      <c r="P5" s="60">
        <f>B17</f>
        <v>1.2393015185905477E-2</v>
      </c>
    </row>
    <row r="6" spans="1:16">
      <c r="A6" s="161"/>
      <c r="B6" s="161"/>
      <c r="C6" s="161"/>
      <c r="D6" s="161"/>
      <c r="E6" s="117" t="s">
        <v>40</v>
      </c>
      <c r="F6" s="119">
        <v>14913.2</v>
      </c>
      <c r="G6" s="127">
        <v>8353.81</v>
      </c>
      <c r="H6" s="119"/>
      <c r="I6" s="119"/>
      <c r="J6" s="119">
        <f t="shared" si="1"/>
        <v>23267.010000000002</v>
      </c>
      <c r="K6" s="120">
        <f t="shared" si="0"/>
        <v>1.8338527736619169E-2</v>
      </c>
      <c r="L6" s="118"/>
      <c r="M6" s="117">
        <v>100000</v>
      </c>
      <c r="N6" s="118"/>
      <c r="O6" s="123" t="s">
        <v>7526</v>
      </c>
      <c r="P6" s="60">
        <f>B18</f>
        <v>2.8876457442180745E-2</v>
      </c>
    </row>
    <row r="7" spans="1:16">
      <c r="A7" s="161"/>
      <c r="B7" s="161"/>
      <c r="C7" s="116" t="s">
        <v>7510</v>
      </c>
      <c r="D7" s="122">
        <f>SUM(K7:K7)</f>
        <v>5.9384812215511382E-2</v>
      </c>
      <c r="E7" s="117" t="s">
        <v>7511</v>
      </c>
      <c r="F7" s="119"/>
      <c r="G7" s="119">
        <v>75344.490000000005</v>
      </c>
      <c r="H7" s="119"/>
      <c r="I7" s="119"/>
      <c r="J7" s="119">
        <f t="shared" si="1"/>
        <v>75344.490000000005</v>
      </c>
      <c r="K7" s="120">
        <f t="shared" si="0"/>
        <v>5.9384812215511382E-2</v>
      </c>
      <c r="L7" s="118"/>
      <c r="M7" s="117" t="s">
        <v>7543</v>
      </c>
      <c r="N7" s="118"/>
      <c r="O7" s="123" t="s">
        <v>7528</v>
      </c>
      <c r="P7" s="60">
        <f>B21</f>
        <v>4.5288262269066445E-2</v>
      </c>
    </row>
    <row r="8" spans="1:16">
      <c r="A8" s="161"/>
      <c r="B8" s="161"/>
      <c r="C8" s="161" t="s">
        <v>7512</v>
      </c>
      <c r="D8" s="160">
        <f>SUM(K8:K14)</f>
        <v>0.20705407438135814</v>
      </c>
      <c r="E8" s="117" t="s">
        <v>7513</v>
      </c>
      <c r="F8" s="119"/>
      <c r="G8" s="119">
        <v>65020.1</v>
      </c>
      <c r="H8" s="119"/>
      <c r="I8" s="119"/>
      <c r="J8" s="119">
        <f t="shared" si="1"/>
        <v>65020.1</v>
      </c>
      <c r="K8" s="120">
        <f t="shared" si="0"/>
        <v>5.1247362995406449E-2</v>
      </c>
      <c r="L8" s="118"/>
      <c r="M8" s="117">
        <v>16634.060000000001</v>
      </c>
      <c r="N8" s="118"/>
      <c r="O8" s="123" t="s">
        <v>7533</v>
      </c>
      <c r="P8" s="60">
        <f>B23</f>
        <v>0.16274505927944083</v>
      </c>
    </row>
    <row r="9" spans="1:16">
      <c r="A9" s="161"/>
      <c r="B9" s="161"/>
      <c r="C9" s="161"/>
      <c r="D9" s="161"/>
      <c r="E9" s="117" t="s">
        <v>7514</v>
      </c>
      <c r="F9" s="119">
        <v>18979.2</v>
      </c>
      <c r="G9" s="119">
        <v>33652.699999999997</v>
      </c>
      <c r="H9" s="119"/>
      <c r="I9" s="119"/>
      <c r="J9" s="119">
        <f t="shared" si="1"/>
        <v>52631.899999999994</v>
      </c>
      <c r="K9" s="120">
        <f t="shared" si="0"/>
        <v>4.1483265704573398E-2</v>
      </c>
      <c r="L9" s="118"/>
      <c r="M9" s="117" t="s">
        <v>7549</v>
      </c>
      <c r="N9" s="118"/>
      <c r="O9" s="125" t="s">
        <v>7550</v>
      </c>
      <c r="P9" s="60">
        <f>B25</f>
        <v>0.22189193654958836</v>
      </c>
    </row>
    <row r="10" spans="1:16">
      <c r="A10" s="161"/>
      <c r="B10" s="161"/>
      <c r="C10" s="161"/>
      <c r="D10" s="161"/>
      <c r="E10" s="117" t="s">
        <v>7515</v>
      </c>
      <c r="F10" s="119">
        <v>31474.3</v>
      </c>
      <c r="G10" s="119"/>
      <c r="H10" s="119"/>
      <c r="I10" s="119"/>
      <c r="J10" s="119">
        <f t="shared" si="1"/>
        <v>31474.3</v>
      </c>
      <c r="K10" s="120">
        <f t="shared" si="0"/>
        <v>2.4807326920849419E-2</v>
      </c>
      <c r="L10" s="118"/>
      <c r="M10" s="117">
        <v>281525.43</v>
      </c>
      <c r="N10" s="118"/>
      <c r="O10" s="118"/>
      <c r="P10" s="118"/>
    </row>
    <row r="11" spans="1:16">
      <c r="A11" s="161"/>
      <c r="B11" s="161"/>
      <c r="C11" s="161"/>
      <c r="D11" s="161"/>
      <c r="E11" s="117" t="s">
        <v>7516</v>
      </c>
      <c r="F11" s="119">
        <v>28256.799999999999</v>
      </c>
      <c r="G11" s="119">
        <v>8342.59</v>
      </c>
      <c r="H11" s="119">
        <v>10413.92</v>
      </c>
      <c r="I11" s="119"/>
      <c r="J11" s="119">
        <f t="shared" si="1"/>
        <v>47013.31</v>
      </c>
      <c r="K11" s="120">
        <f t="shared" si="0"/>
        <v>3.7054820942840322E-2</v>
      </c>
      <c r="L11" s="118"/>
      <c r="M11" s="118"/>
      <c r="N11" s="118"/>
      <c r="O11" s="118"/>
      <c r="P11" s="118"/>
    </row>
    <row r="12" spans="1:16">
      <c r="A12" s="161"/>
      <c r="B12" s="161"/>
      <c r="C12" s="161"/>
      <c r="D12" s="161"/>
      <c r="E12" s="117" t="s">
        <v>7517</v>
      </c>
      <c r="F12" s="119"/>
      <c r="G12" s="127">
        <v>8983.14</v>
      </c>
      <c r="H12" s="119"/>
      <c r="I12" s="119"/>
      <c r="J12" s="119">
        <f t="shared" si="1"/>
        <v>8983.14</v>
      </c>
      <c r="K12" s="120">
        <f t="shared" si="0"/>
        <v>7.0803064962766202E-3</v>
      </c>
      <c r="L12" s="118"/>
      <c r="M12" s="118"/>
      <c r="N12" s="118"/>
      <c r="O12" s="118"/>
      <c r="P12" s="118"/>
    </row>
    <row r="13" spans="1:16">
      <c r="A13" s="161"/>
      <c r="B13" s="161"/>
      <c r="C13" s="161"/>
      <c r="D13" s="161"/>
      <c r="E13" s="117" t="s">
        <v>7518</v>
      </c>
      <c r="F13" s="119"/>
      <c r="G13" s="119">
        <v>22882.44</v>
      </c>
      <c r="H13" s="119"/>
      <c r="I13" s="119"/>
      <c r="J13" s="119">
        <f t="shared" si="1"/>
        <v>22882.44</v>
      </c>
      <c r="K13" s="120">
        <f t="shared" si="0"/>
        <v>1.803541841523788E-2</v>
      </c>
      <c r="L13" s="118"/>
      <c r="M13" s="118"/>
      <c r="N13" s="118"/>
      <c r="O13" s="118"/>
      <c r="P13" s="118"/>
    </row>
    <row r="14" spans="1:16">
      <c r="A14" s="161"/>
      <c r="B14" s="161"/>
      <c r="C14" s="161"/>
      <c r="D14" s="161"/>
      <c r="E14" s="117" t="s">
        <v>7519</v>
      </c>
      <c r="F14" s="119">
        <v>34694.699999999997</v>
      </c>
      <c r="G14" s="119"/>
      <c r="H14" s="119"/>
      <c r="I14" s="119"/>
      <c r="J14" s="119">
        <f t="shared" si="1"/>
        <v>34694.699999999997</v>
      </c>
      <c r="K14" s="120">
        <f t="shared" si="0"/>
        <v>2.7345572906174061E-2</v>
      </c>
      <c r="L14" s="118"/>
      <c r="M14" s="118"/>
      <c r="N14" s="118"/>
      <c r="O14" s="118"/>
      <c r="P14" s="118"/>
    </row>
    <row r="15" spans="1:16">
      <c r="A15" s="161" t="s">
        <v>7520</v>
      </c>
      <c r="B15" s="160">
        <f>SUM(K15:K16)</f>
        <v>1.599010635789792E-2</v>
      </c>
      <c r="C15" s="116" t="s">
        <v>7521</v>
      </c>
      <c r="D15" s="122">
        <f t="shared" ref="D15:D25" si="2">SUM(K15:K15)</f>
        <v>5.3044170650587358E-3</v>
      </c>
      <c r="E15" s="117" t="s">
        <v>7522</v>
      </c>
      <c r="F15" s="119"/>
      <c r="G15" s="127">
        <v>6729.98</v>
      </c>
      <c r="H15" s="119"/>
      <c r="I15" s="119"/>
      <c r="J15" s="119">
        <f t="shared" si="1"/>
        <v>6729.98</v>
      </c>
      <c r="K15" s="120">
        <f t="shared" si="0"/>
        <v>5.3044170650587358E-3</v>
      </c>
      <c r="L15" s="118"/>
      <c r="M15" s="118"/>
      <c r="P15" s="118"/>
    </row>
    <row r="16" spans="1:16">
      <c r="A16" s="161"/>
      <c r="B16" s="161"/>
      <c r="C16" s="116" t="s">
        <v>7523</v>
      </c>
      <c r="D16" s="122">
        <f t="shared" si="2"/>
        <v>1.0685689292839185E-2</v>
      </c>
      <c r="E16" s="117" t="s">
        <v>7381</v>
      </c>
      <c r="F16" s="119"/>
      <c r="G16" s="127">
        <v>13557.47</v>
      </c>
      <c r="H16" s="119"/>
      <c r="I16" s="119"/>
      <c r="J16" s="119">
        <f t="shared" si="1"/>
        <v>13557.47</v>
      </c>
      <c r="K16" s="120">
        <f t="shared" si="0"/>
        <v>1.0685689292839185E-2</v>
      </c>
      <c r="L16" s="118"/>
      <c r="M16" s="118"/>
      <c r="P16" s="118"/>
    </row>
    <row r="17" spans="1:16">
      <c r="A17" s="116" t="s">
        <v>7524</v>
      </c>
      <c r="B17" s="122">
        <f>SUM(K17:K17)</f>
        <v>1.2393015185905477E-2</v>
      </c>
      <c r="C17" s="116" t="s">
        <v>7525</v>
      </c>
      <c r="D17" s="122">
        <f t="shared" si="2"/>
        <v>1.2393015185905477E-2</v>
      </c>
      <c r="E17" s="117" t="s">
        <v>119</v>
      </c>
      <c r="F17" s="119"/>
      <c r="G17" s="127">
        <v>15723.64</v>
      </c>
      <c r="H17" s="119"/>
      <c r="I17" s="119"/>
      <c r="J17" s="119">
        <f t="shared" si="1"/>
        <v>15723.64</v>
      </c>
      <c r="K17" s="120">
        <f t="shared" si="0"/>
        <v>1.2393015185905477E-2</v>
      </c>
      <c r="L17" s="118"/>
      <c r="M17" s="118"/>
      <c r="P17" s="118"/>
    </row>
    <row r="18" spans="1:16">
      <c r="A18" s="161" t="s">
        <v>7526</v>
      </c>
      <c r="B18" s="160">
        <f>SUM(K18:K20)</f>
        <v>2.8876457442180745E-2</v>
      </c>
      <c r="C18" s="116" t="s">
        <v>7386</v>
      </c>
      <c r="D18" s="122">
        <f t="shared" si="2"/>
        <v>1.0345669631285014E-2</v>
      </c>
      <c r="E18" s="117" t="s">
        <v>7386</v>
      </c>
      <c r="F18" s="119"/>
      <c r="G18" s="127">
        <v>13126.07</v>
      </c>
      <c r="H18" s="119"/>
      <c r="I18" s="119"/>
      <c r="J18" s="119">
        <f t="shared" si="1"/>
        <v>13126.07</v>
      </c>
      <c r="K18" s="120">
        <f t="shared" si="0"/>
        <v>1.0345669631285014E-2</v>
      </c>
      <c r="L18" s="118"/>
      <c r="M18" s="118"/>
      <c r="P18" s="118"/>
    </row>
    <row r="19" spans="1:16">
      <c r="A19" s="161"/>
      <c r="B19" s="161"/>
      <c r="C19" s="116" t="s">
        <v>143</v>
      </c>
      <c r="D19" s="122">
        <f t="shared" si="2"/>
        <v>5.358974693646542E-3</v>
      </c>
      <c r="E19" s="117" t="s">
        <v>143</v>
      </c>
      <c r="F19" s="119">
        <v>6799.2</v>
      </c>
      <c r="G19" s="119"/>
      <c r="H19" s="119"/>
      <c r="I19" s="119"/>
      <c r="J19" s="119">
        <f t="shared" si="1"/>
        <v>6799.2</v>
      </c>
      <c r="K19" s="120">
        <f t="shared" si="0"/>
        <v>5.358974693646542E-3</v>
      </c>
      <c r="L19" s="118"/>
      <c r="M19" s="118"/>
      <c r="P19" s="118"/>
    </row>
    <row r="20" spans="1:16">
      <c r="A20" s="161"/>
      <c r="B20" s="161"/>
      <c r="C20" s="116" t="s">
        <v>7527</v>
      </c>
      <c r="D20" s="122">
        <f t="shared" si="2"/>
        <v>1.3171813117249187E-2</v>
      </c>
      <c r="E20" s="117" t="s">
        <v>7527</v>
      </c>
      <c r="F20" s="119"/>
      <c r="G20" s="119"/>
      <c r="H20" s="119"/>
      <c r="I20" s="119">
        <v>16711.740000000002</v>
      </c>
      <c r="J20" s="119">
        <f t="shared" si="1"/>
        <v>16711.740000000002</v>
      </c>
      <c r="K20" s="120">
        <f t="shared" si="0"/>
        <v>1.3171813117249187E-2</v>
      </c>
      <c r="L20" s="118"/>
      <c r="M20" s="118"/>
      <c r="P20" s="118"/>
    </row>
    <row r="21" spans="1:16">
      <c r="A21" s="161" t="s">
        <v>7528</v>
      </c>
      <c r="B21" s="160">
        <f>SUM(K21:K22)</f>
        <v>4.5288262269066445E-2</v>
      </c>
      <c r="C21" s="116" t="s">
        <v>7529</v>
      </c>
      <c r="D21" s="122">
        <f t="shared" si="2"/>
        <v>3.9792475770012915E-2</v>
      </c>
      <c r="E21" s="117" t="s">
        <v>7530</v>
      </c>
      <c r="F21" s="119"/>
      <c r="G21" s="127">
        <f>36204.24+7373.21+6909.26</f>
        <v>50486.71</v>
      </c>
      <c r="H21" s="119"/>
      <c r="I21" s="119"/>
      <c r="J21" s="119">
        <f t="shared" si="1"/>
        <v>50486.71</v>
      </c>
      <c r="K21" s="120">
        <f t="shared" si="0"/>
        <v>3.9792475770012915E-2</v>
      </c>
      <c r="L21" s="118"/>
      <c r="M21" s="118"/>
      <c r="P21" s="118"/>
    </row>
    <row r="22" spans="1:16">
      <c r="A22" s="161"/>
      <c r="B22" s="161"/>
      <c r="C22" s="116" t="s">
        <v>7531</v>
      </c>
      <c r="D22" s="122">
        <f t="shared" si="2"/>
        <v>5.4957864990535267E-3</v>
      </c>
      <c r="E22" s="117" t="s">
        <v>7532</v>
      </c>
      <c r="F22" s="119"/>
      <c r="G22" s="127">
        <v>6972.78</v>
      </c>
      <c r="H22" s="119"/>
      <c r="I22" s="119"/>
      <c r="J22" s="119">
        <f t="shared" si="1"/>
        <v>6972.78</v>
      </c>
      <c r="K22" s="120">
        <f t="shared" si="0"/>
        <v>5.4957864990535267E-3</v>
      </c>
      <c r="L22" s="118"/>
      <c r="M22" s="118"/>
      <c r="P22" s="118"/>
    </row>
    <row r="23" spans="1:16">
      <c r="A23" s="161" t="s">
        <v>7533</v>
      </c>
      <c r="B23" s="160">
        <f>SUM(K23:K24)</f>
        <v>0.16274505927944083</v>
      </c>
      <c r="C23" s="116" t="s">
        <v>7534</v>
      </c>
      <c r="D23" s="122">
        <f t="shared" si="2"/>
        <v>8.1089897163047472E-2</v>
      </c>
      <c r="E23" s="117" t="s">
        <v>7535</v>
      </c>
      <c r="F23" s="119"/>
      <c r="G23" s="119">
        <f>102400+482.82</f>
        <v>102882.82</v>
      </c>
      <c r="H23" s="119"/>
      <c r="I23" s="119"/>
      <c r="J23" s="119">
        <f t="shared" si="1"/>
        <v>102882.82</v>
      </c>
      <c r="K23" s="120">
        <f t="shared" si="0"/>
        <v>8.1089897163047472E-2</v>
      </c>
      <c r="L23" s="118"/>
      <c r="M23" s="118"/>
      <c r="P23" s="118"/>
    </row>
    <row r="24" spans="1:16">
      <c r="A24" s="161"/>
      <c r="B24" s="161"/>
      <c r="C24" s="116" t="s">
        <v>7536</v>
      </c>
      <c r="D24" s="122">
        <f t="shared" si="2"/>
        <v>8.1655162116393371E-2</v>
      </c>
      <c r="E24" s="117" t="s">
        <v>7537</v>
      </c>
      <c r="F24" s="119"/>
      <c r="G24" s="119">
        <f>100000+3600</f>
        <v>103600</v>
      </c>
      <c r="H24" s="119"/>
      <c r="I24" s="119"/>
      <c r="J24" s="119">
        <f t="shared" ref="J24" si="3">SUM(F24:I24)</f>
        <v>103600</v>
      </c>
      <c r="K24" s="120">
        <f t="shared" si="0"/>
        <v>8.1655162116393371E-2</v>
      </c>
      <c r="L24" s="118"/>
      <c r="M24" s="118"/>
      <c r="P24" s="118"/>
    </row>
    <row r="25" spans="1:16">
      <c r="A25" s="125" t="s">
        <v>7550</v>
      </c>
      <c r="B25" s="124">
        <f>SUM(K25:K25)</f>
        <v>0.22189193654958836</v>
      </c>
      <c r="C25" s="125" t="s">
        <v>7551</v>
      </c>
      <c r="D25" s="124">
        <f t="shared" si="2"/>
        <v>0.22189193654958836</v>
      </c>
      <c r="E25" s="117" t="s">
        <v>7552</v>
      </c>
      <c r="F25" s="119"/>
      <c r="G25" s="119"/>
      <c r="H25" s="119"/>
      <c r="I25" s="119"/>
      <c r="J25" s="119">
        <f>M10</f>
        <v>281525.43</v>
      </c>
      <c r="K25" s="120">
        <f t="shared" si="0"/>
        <v>0.22189193654958836</v>
      </c>
      <c r="L25" s="118"/>
      <c r="M25" s="118"/>
      <c r="P25" s="118"/>
    </row>
    <row r="26" spans="1:16">
      <c r="A26" s="117"/>
      <c r="B26" s="117"/>
      <c r="C26" s="117"/>
      <c r="D26" s="117"/>
      <c r="E26" s="117" t="s">
        <v>7502</v>
      </c>
      <c r="F26" s="117"/>
      <c r="G26" s="117"/>
      <c r="H26" s="117"/>
      <c r="I26" s="117"/>
      <c r="J26" s="119">
        <f>SUM(J2:J25)</f>
        <v>1268750.1599999997</v>
      </c>
      <c r="K26" s="120">
        <f t="shared" si="0"/>
        <v>1</v>
      </c>
      <c r="L26" s="118"/>
      <c r="M26" s="118"/>
      <c r="P26" s="118"/>
    </row>
    <row r="27" spans="1:16">
      <c r="A27" s="118"/>
      <c r="B27" s="118"/>
      <c r="C27" s="118"/>
      <c r="D27" s="118"/>
      <c r="E27" s="117" t="s">
        <v>7538</v>
      </c>
      <c r="F27" s="117"/>
      <c r="G27" s="117"/>
      <c r="H27" s="117"/>
      <c r="I27" s="117"/>
      <c r="J27" s="121">
        <f>J26/$M$2-1</f>
        <v>5.8915921118314341E-2</v>
      </c>
      <c r="K27" s="120"/>
      <c r="L27" s="118"/>
      <c r="M27" s="118"/>
      <c r="P27" s="118"/>
    </row>
    <row r="30" spans="1:16">
      <c r="A30" s="126" t="s">
        <v>7553</v>
      </c>
      <c r="B30" s="126" t="s">
        <v>7557</v>
      </c>
      <c r="C30" s="126" t="s">
        <v>7554</v>
      </c>
      <c r="D30" s="126" t="s">
        <v>7555</v>
      </c>
      <c r="E30" s="126" t="s">
        <v>7558</v>
      </c>
      <c r="F30" s="117" t="s">
        <v>7556</v>
      </c>
    </row>
    <row r="31" spans="1:16">
      <c r="A31" s="126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6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6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6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6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6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6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6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6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6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6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6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6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6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6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6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6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6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6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6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6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6" t="str">
        <f t="shared" si="4"/>
        <v>货币基金</v>
      </c>
      <c r="B52" s="126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6" t="str">
        <f t="shared" si="4"/>
        <v>地产定期</v>
      </c>
      <c r="B53" s="126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6" t="str">
        <f t="shared" si="4"/>
        <v>公积金</v>
      </c>
      <c r="B54" s="126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6"/>
    </row>
    <row r="55" spans="1:6">
      <c r="A55" s="126" t="str">
        <f t="shared" si="4"/>
        <v>总市值</v>
      </c>
      <c r="B55" s="126">
        <f>SUM(B30:B54)</f>
        <v>1197397.58</v>
      </c>
      <c r="C55" s="129">
        <f>SUM(C30:C54)</f>
        <v>1268750.1599999997</v>
      </c>
      <c r="D55" s="128">
        <f>C55/B55-1</f>
        <v>5.9589714554124651E-2</v>
      </c>
      <c r="E55" s="126"/>
    </row>
    <row r="59" spans="1:6">
      <c r="A59" s="131" t="str">
        <f>基金成本!A1</f>
        <v>名称</v>
      </c>
      <c r="B59" s="131" t="str">
        <f>基金成本!B1</f>
        <v>代码</v>
      </c>
      <c r="C59" s="131" t="s">
        <v>7595</v>
      </c>
      <c r="D59" s="131" t="s">
        <v>7398</v>
      </c>
    </row>
    <row r="60" spans="1:6">
      <c r="A60" s="131" t="str">
        <f>基金成本!A2</f>
        <v>50ETF</v>
      </c>
      <c r="B60" s="131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1" t="str">
        <f>基金成本!A3</f>
        <v>300ETF</v>
      </c>
      <c r="B61" s="131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1" t="str">
        <f>基金成本!A4</f>
        <v>富国300</v>
      </c>
      <c r="B62" s="131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1" t="str">
        <f>基金成本!A5</f>
        <v>500ETF</v>
      </c>
      <c r="B63" s="131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1" t="str">
        <f>基金成本!A6</f>
        <v>富国500</v>
      </c>
      <c r="B64" s="131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1" t="str">
        <f>基金成本!A7</f>
        <v>1000ETF</v>
      </c>
      <c r="B65" s="131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1" t="str">
        <f>基金成本!A8</f>
        <v>创业板</v>
      </c>
      <c r="B66" s="131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1" t="str">
        <f>基金成本!A9</f>
        <v>易方达创业板</v>
      </c>
      <c r="B67" s="131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1" t="str">
        <f>基金成本!A10</f>
        <v>富国中证红利</v>
      </c>
      <c r="B68" s="131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1" t="str">
        <f>基金成本!A12</f>
        <v>广发养老</v>
      </c>
      <c r="B69" s="131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1" t="str">
        <f>基金成本!A13</f>
        <v>医药ETF</v>
      </c>
      <c r="B70" s="131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1" t="str">
        <f>基金成本!A14</f>
        <v>广发医药</v>
      </c>
      <c r="B71" s="131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1" t="str">
        <f>基金成本!A15</f>
        <v>传媒ETF</v>
      </c>
      <c r="B72" s="131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1" t="str">
        <f>基金成本!A16</f>
        <v>环保ETF</v>
      </c>
      <c r="B73" s="131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1" t="str">
        <f>基金成本!A17</f>
        <v>广发环保</v>
      </c>
      <c r="B74" s="131" t="str">
        <f>基金成本!B17</f>
        <v>001064</v>
      </c>
      <c r="C74" s="132">
        <f>G11+H11</f>
        <v>18756.510000000002</v>
      </c>
      <c r="D74" s="60">
        <f t="shared" si="9"/>
        <v>2.1635977562177271E-2</v>
      </c>
    </row>
    <row r="75" spans="1:4">
      <c r="A75" s="131" t="str">
        <f>基金成本!A18</f>
        <v>易方达消费</v>
      </c>
      <c r="B75" s="131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1" t="str">
        <f>基金成本!A19</f>
        <v>广发金融地产</v>
      </c>
      <c r="B76" s="131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1" t="str">
        <f>基金成本!A20</f>
        <v>证券ETF</v>
      </c>
      <c r="B77" s="131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1" t="str">
        <f>基金成本!A21</f>
        <v>华夏恒生ETF</v>
      </c>
      <c r="B78" s="131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1" t="str">
        <f>基金成本!A22</f>
        <v>交银海外互联网</v>
      </c>
      <c r="B79" s="131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1" t="str">
        <f>基金成本!A23</f>
        <v>华安德国30</v>
      </c>
      <c r="B80" s="131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1" t="str">
        <f>基金成本!A24</f>
        <v>华宝油气</v>
      </c>
      <c r="B81" s="131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1" t="str">
        <f>基金成本!A25</f>
        <v>黄金ETF</v>
      </c>
      <c r="B82" s="131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1" t="str">
        <f>基金成本!A26</f>
        <v>兴全可转债</v>
      </c>
      <c r="B83" s="131">
        <f>基金成本!B26</f>
        <v>340001</v>
      </c>
      <c r="C83" s="131">
        <f>36204.24</f>
        <v>36204.239999999998</v>
      </c>
      <c r="D83" s="60">
        <f t="shared" si="9"/>
        <v>4.176225344137479E-2</v>
      </c>
    </row>
    <row r="84" spans="1:4">
      <c r="A84" s="131" t="str">
        <f>基金成本!A27</f>
        <v>易方达安心债</v>
      </c>
      <c r="B84" s="131">
        <f>基金成本!B27</f>
        <v>110027</v>
      </c>
      <c r="C84" s="131">
        <v>6909.26</v>
      </c>
      <c r="D84" s="60">
        <f t="shared" si="9"/>
        <v>7.9699578616303831E-3</v>
      </c>
    </row>
    <row r="85" spans="1:4">
      <c r="A85" s="131" t="str">
        <f>基金成本!A28</f>
        <v>长信可转债</v>
      </c>
      <c r="B85" s="131">
        <f>基金成本!B28</f>
        <v>519977</v>
      </c>
      <c r="C85" s="131">
        <v>7373.21</v>
      </c>
      <c r="D85" s="60">
        <f t="shared" si="9"/>
        <v>8.505132677732747E-3</v>
      </c>
    </row>
    <row r="86" spans="1:4">
      <c r="A86" s="131" t="str">
        <f>基金成本!A29</f>
        <v>华夏海外债</v>
      </c>
      <c r="B86" s="131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1" t="s">
        <v>7535</v>
      </c>
      <c r="B87" s="131" t="s">
        <v>7596</v>
      </c>
      <c r="C87" s="131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3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7" sqref="C37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30" t="s">
        <v>85</v>
      </c>
      <c r="B1" s="130" t="s">
        <v>87</v>
      </c>
      <c r="C1" s="130" t="s">
        <v>7559</v>
      </c>
      <c r="D1" s="130" t="s">
        <v>7560</v>
      </c>
      <c r="E1" s="130" t="s">
        <v>7561</v>
      </c>
      <c r="F1" s="130" t="s">
        <v>7562</v>
      </c>
    </row>
    <row r="2" spans="1:6">
      <c r="A2" s="130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0" t="s">
        <v>39</v>
      </c>
      <c r="B3" s="80" t="s">
        <v>7563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0" t="s">
        <v>7565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0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0" t="s">
        <v>7566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0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0" t="s">
        <v>214</v>
      </c>
      <c r="B8" s="80" t="s">
        <v>7564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0" t="s">
        <v>7567</v>
      </c>
      <c r="B9" s="80" t="s">
        <v>7375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0" t="s">
        <v>7568</v>
      </c>
      <c r="B10" s="80" t="s">
        <v>7569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0" t="s">
        <v>7593</v>
      </c>
      <c r="B11" s="80" t="s">
        <v>7594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0" t="s">
        <v>7570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0" t="s">
        <v>7572</v>
      </c>
      <c r="B13" s="80" t="s">
        <v>7573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0" t="s">
        <v>7571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0" t="s">
        <v>56</v>
      </c>
      <c r="B15" s="80" t="s">
        <v>7574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0" t="s">
        <v>7575</v>
      </c>
      <c r="B16" s="80" t="s">
        <v>7576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0" t="s">
        <v>7577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0" t="s">
        <v>7579</v>
      </c>
      <c r="B18" s="80" t="s">
        <v>7578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0" t="s">
        <v>7581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0" t="s">
        <v>55</v>
      </c>
      <c r="B20" s="80" t="s">
        <v>7580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0" t="s">
        <v>7582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0" t="s">
        <v>7584</v>
      </c>
      <c r="B22" s="80" t="s">
        <v>7585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0" t="s">
        <v>7583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0" t="s">
        <v>7586</v>
      </c>
      <c r="B24" s="80" t="s">
        <v>7388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0" t="s">
        <v>7587</v>
      </c>
      <c r="B25" s="80" t="s">
        <v>7590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0" t="s">
        <v>7588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0" t="s">
        <v>7591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0" t="s">
        <v>7589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0" t="s">
        <v>7592</v>
      </c>
      <c r="B29" s="80" t="s">
        <v>7391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97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97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97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97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97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97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60"/>
      <c r="B9" s="89" t="s">
        <v>7374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61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2">
        <f t="shared" si="0"/>
        <v>0.73133024691358106</v>
      </c>
      <c r="M10" s="3"/>
    </row>
    <row r="11" spans="1:18">
      <c r="A11" s="97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97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60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2">
        <f t="shared" si="0"/>
        <v>-0.70987654320987548</v>
      </c>
      <c r="N13" s="4"/>
      <c r="O13" s="4"/>
      <c r="P13" s="4"/>
      <c r="Q13" s="13"/>
      <c r="R13" s="4"/>
    </row>
    <row r="14" spans="1:18">
      <c r="A14" s="161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97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97"/>
      <c r="B16" s="2" t="s">
        <v>7397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97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97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97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97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97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97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97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97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97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97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97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7398</v>
      </c>
      <c r="H27" t="s">
        <v>100</v>
      </c>
      <c r="I27" t="s">
        <v>102</v>
      </c>
      <c r="J27" t="s">
        <v>207</v>
      </c>
    </row>
    <row r="28" spans="1:28">
      <c r="A28" s="97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97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97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97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97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97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97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97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97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7374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7381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5" t="s">
        <v>40</v>
      </c>
      <c r="C66" s="36" t="s">
        <v>7375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abSelected="1" topLeftCell="A58" zoomScaleNormal="100" workbookViewId="0">
      <selection activeCell="G77" sqref="G77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59"/>
      <c r="B2" t="s">
        <v>7363</v>
      </c>
      <c r="C2" s="159" t="str">
        <f>[1]指数行业占比!K1</f>
        <v>能源</v>
      </c>
      <c r="D2" s="159" t="str">
        <f>[1]指数行业占比!L1</f>
        <v>原材料</v>
      </c>
      <c r="E2" s="159" t="str">
        <f>[1]指数行业占比!M1</f>
        <v>工业</v>
      </c>
      <c r="F2" s="159" t="str">
        <f>[1]指数行业占比!N1</f>
        <v>可选消费</v>
      </c>
      <c r="G2" s="159" t="str">
        <f>[1]指数行业占比!O1</f>
        <v>主要消费</v>
      </c>
      <c r="H2" s="159" t="str">
        <f>[1]指数行业占比!P1</f>
        <v>医药卫生</v>
      </c>
      <c r="I2" s="159" t="str">
        <f>[1]指数行业占比!Q1</f>
        <v>金融地产</v>
      </c>
      <c r="J2" s="159" t="str">
        <f>[1]指数行业占比!R1</f>
        <v>信息技术</v>
      </c>
      <c r="K2" s="159" t="str">
        <f>[1]指数行业占比!S1</f>
        <v>电信业务</v>
      </c>
      <c r="L2" s="159" t="str">
        <f>[1]指数行业占比!T1</f>
        <v>公用事业</v>
      </c>
    </row>
    <row r="3" spans="1:12">
      <c r="A3" s="149" t="s">
        <v>7505</v>
      </c>
      <c r="B3" s="60">
        <v>8.6489648747794193E-3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149" t="s">
        <v>7506</v>
      </c>
      <c r="B4" s="60">
        <v>5.8682752002597184E-2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150" t="s">
        <v>7508</v>
      </c>
      <c r="B5" s="60">
        <v>0.2209974844188228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150" t="s">
        <v>7509</v>
      </c>
      <c r="B6" s="60">
        <v>4.5410093578134074E-2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150" t="s">
        <v>40</v>
      </c>
      <c r="B7" s="60">
        <v>2.683892186227364E-2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51" t="s">
        <v>7511</v>
      </c>
      <c r="B8" s="60">
        <v>8.6911248151905096E-2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52" t="s">
        <v>7513</v>
      </c>
      <c r="B9" s="60">
        <v>7.5001875332379106E-2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52" t="s">
        <v>7514</v>
      </c>
      <c r="B10" s="60">
        <v>6.0711859906494199E-2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52" t="s">
        <v>7515</v>
      </c>
      <c r="B11" s="60">
        <v>3.6306181085139826E-2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52" t="s">
        <v>7516</v>
      </c>
      <c r="B12" s="60">
        <v>5.4230713511398659E-2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52" t="s">
        <v>7517</v>
      </c>
      <c r="B13" s="60">
        <v>1.036221639728804E-2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52" t="s">
        <v>7518</v>
      </c>
      <c r="B14" s="60">
        <v>2.6395313328965119E-2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52" t="s">
        <v>7519</v>
      </c>
      <c r="B15" s="60">
        <v>4.0020971424133356E-2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53" t="s">
        <v>7522</v>
      </c>
      <c r="B16" s="60">
        <v>7.7631551004905368E-3</v>
      </c>
    </row>
    <row r="17" spans="1:30">
      <c r="A17" s="153" t="s">
        <v>7381</v>
      </c>
      <c r="B17" s="60">
        <v>1.5638789770585863E-2</v>
      </c>
    </row>
    <row r="18" spans="1:30">
      <c r="A18" s="153" t="s">
        <v>119</v>
      </c>
      <c r="B18" s="60">
        <v>1.8137506510313109E-2</v>
      </c>
    </row>
    <row r="19" spans="1:30">
      <c r="A19" s="155" t="s">
        <v>7386</v>
      </c>
      <c r="B19" s="60">
        <v>1.5141161975205843E-2</v>
      </c>
    </row>
    <row r="20" spans="1:30">
      <c r="A20" s="155" t="s">
        <v>38</v>
      </c>
      <c r="B20" s="60">
        <v>7.8430016373384846E-3</v>
      </c>
    </row>
    <row r="21" spans="1:30">
      <c r="A21" s="154" t="s">
        <v>7530</v>
      </c>
      <c r="B21" s="60">
        <v>5.8237343980737918E-2</v>
      </c>
    </row>
    <row r="22" spans="1:30">
      <c r="A22" s="156" t="s">
        <v>7532</v>
      </c>
      <c r="B22" s="60">
        <v>8.0432293441582894E-3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56" t="s">
        <v>7535</v>
      </c>
      <c r="B23" s="60">
        <v>0.11867721580685973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 ht="15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84" customFormat="1">
      <c r="A25" s="84" t="s">
        <v>7355</v>
      </c>
      <c r="B25" s="84" t="s">
        <v>7356</v>
      </c>
      <c r="C25" s="84" t="s">
        <v>7356</v>
      </c>
      <c r="D25" s="84" t="s">
        <v>7356</v>
      </c>
      <c r="E25" s="84" t="s">
        <v>7357</v>
      </c>
      <c r="F25" s="84" t="s">
        <v>7357</v>
      </c>
      <c r="G25" s="84" t="s">
        <v>7357</v>
      </c>
      <c r="H25" s="84" t="s">
        <v>225</v>
      </c>
      <c r="I25" s="84" t="s">
        <v>225</v>
      </c>
      <c r="J25" s="84" t="s">
        <v>225</v>
      </c>
      <c r="K25" s="84" t="s">
        <v>226</v>
      </c>
      <c r="L25" s="84" t="s">
        <v>226</v>
      </c>
      <c r="M25" s="84" t="s">
        <v>226</v>
      </c>
      <c r="N25" s="84" t="s">
        <v>3819</v>
      </c>
      <c r="O25" s="84" t="s">
        <v>3819</v>
      </c>
      <c r="P25" s="84" t="s">
        <v>3819</v>
      </c>
      <c r="Q25" s="84" t="s">
        <v>228</v>
      </c>
      <c r="R25" s="84" t="s">
        <v>228</v>
      </c>
      <c r="S25" s="84" t="s">
        <v>228</v>
      </c>
      <c r="T25" s="84" t="s">
        <v>7358</v>
      </c>
      <c r="U25" s="84" t="s">
        <v>7358</v>
      </c>
      <c r="V25" s="84" t="s">
        <v>7358</v>
      </c>
      <c r="W25" s="84" t="s">
        <v>229</v>
      </c>
      <c r="X25" s="84" t="s">
        <v>229</v>
      </c>
      <c r="Y25" s="84" t="s">
        <v>229</v>
      </c>
      <c r="Z25" s="84" t="s">
        <v>230</v>
      </c>
      <c r="AA25" s="84" t="s">
        <v>230</v>
      </c>
      <c r="AB25" s="84" t="s">
        <v>230</v>
      </c>
    </row>
    <row r="26" spans="1:30" ht="15">
      <c r="A26" s="3">
        <v>38544</v>
      </c>
      <c r="B26" s="84">
        <v>35</v>
      </c>
      <c r="C26" s="84">
        <v>11.93</v>
      </c>
      <c r="D26" s="84">
        <v>1.4</v>
      </c>
      <c r="E26" s="84">
        <v>271</v>
      </c>
      <c r="F26" s="84">
        <v>14.65</v>
      </c>
      <c r="G26" s="84">
        <v>1.2</v>
      </c>
      <c r="H26" s="84">
        <v>308</v>
      </c>
      <c r="I26" s="84">
        <v>21.23</v>
      </c>
      <c r="J26" s="84">
        <v>1.42</v>
      </c>
      <c r="K26" s="84">
        <v>262</v>
      </c>
      <c r="L26" s="84">
        <v>22.67</v>
      </c>
      <c r="M26" s="84">
        <v>1.34</v>
      </c>
      <c r="N26" s="84">
        <v>118</v>
      </c>
      <c r="O26" s="84">
        <v>26.35</v>
      </c>
      <c r="P26" s="84">
        <v>1.36</v>
      </c>
      <c r="Q26" s="84">
        <v>107</v>
      </c>
      <c r="R26" s="84">
        <v>24.93</v>
      </c>
      <c r="S26" s="84">
        <v>1.49</v>
      </c>
      <c r="T26" s="84">
        <v>100</v>
      </c>
      <c r="U26" s="84">
        <v>18.829999999999998</v>
      </c>
      <c r="V26" s="84">
        <v>1.38</v>
      </c>
      <c r="W26" s="84">
        <v>122</v>
      </c>
      <c r="X26" s="84">
        <v>25.95</v>
      </c>
      <c r="Y26" s="84">
        <v>1.47</v>
      </c>
      <c r="Z26" s="84">
        <v>63</v>
      </c>
      <c r="AA26" s="84">
        <v>19.89</v>
      </c>
      <c r="AB26" s="84">
        <v>1.33</v>
      </c>
    </row>
    <row r="27" spans="1:30" ht="15">
      <c r="A27" s="3">
        <v>39748</v>
      </c>
      <c r="B27" s="84">
        <v>42</v>
      </c>
      <c r="C27" s="84">
        <v>10.64</v>
      </c>
      <c r="D27" s="84">
        <v>1.92</v>
      </c>
      <c r="E27" s="84">
        <v>320</v>
      </c>
      <c r="F27" s="84">
        <v>9.81</v>
      </c>
      <c r="G27" s="84">
        <v>1.34</v>
      </c>
      <c r="H27" s="84">
        <v>388</v>
      </c>
      <c r="I27" s="84">
        <v>15.36</v>
      </c>
      <c r="J27" s="84">
        <v>1.65</v>
      </c>
      <c r="K27" s="84">
        <v>278</v>
      </c>
      <c r="L27" s="84">
        <v>12.86</v>
      </c>
      <c r="M27" s="84">
        <v>1.54</v>
      </c>
      <c r="N27" s="84">
        <v>117</v>
      </c>
      <c r="O27" s="84">
        <v>23.61</v>
      </c>
      <c r="P27" s="84">
        <v>1.95</v>
      </c>
      <c r="Q27" s="84">
        <v>118</v>
      </c>
      <c r="R27" s="84">
        <v>19.39</v>
      </c>
      <c r="S27" s="84">
        <v>2.09</v>
      </c>
      <c r="T27" s="84">
        <v>142</v>
      </c>
      <c r="U27" s="84">
        <v>13.4</v>
      </c>
      <c r="V27" s="84">
        <v>1.68</v>
      </c>
      <c r="W27" s="84">
        <v>155</v>
      </c>
      <c r="X27" s="84">
        <v>12.48</v>
      </c>
      <c r="Y27" s="84">
        <v>1.56</v>
      </c>
      <c r="Z27" s="84">
        <v>67</v>
      </c>
      <c r="AA27" s="84">
        <v>20.48</v>
      </c>
      <c r="AB27" s="84">
        <v>1.36</v>
      </c>
    </row>
    <row r="28" spans="1:30" ht="15">
      <c r="A28" s="3">
        <v>41240</v>
      </c>
      <c r="B28" s="84">
        <v>65</v>
      </c>
      <c r="C28" s="84">
        <v>20.45</v>
      </c>
      <c r="D28" s="84">
        <v>2</v>
      </c>
      <c r="E28" s="84">
        <v>454</v>
      </c>
      <c r="F28" s="84">
        <v>23.49</v>
      </c>
      <c r="G28" s="84">
        <v>1.76</v>
      </c>
      <c r="H28" s="84">
        <v>637</v>
      </c>
      <c r="I28" s="84">
        <v>22.35</v>
      </c>
      <c r="J28" s="84">
        <v>1.78</v>
      </c>
      <c r="K28" s="84">
        <v>407</v>
      </c>
      <c r="L28" s="84">
        <v>21.28</v>
      </c>
      <c r="M28" s="84">
        <v>1.87</v>
      </c>
      <c r="N28" s="84">
        <v>166</v>
      </c>
      <c r="O28" s="84">
        <v>26.39</v>
      </c>
      <c r="P28" s="84">
        <v>2.4700000000000002</v>
      </c>
      <c r="Q28" s="84">
        <v>181</v>
      </c>
      <c r="R28" s="84">
        <v>30.04</v>
      </c>
      <c r="S28" s="84">
        <v>2.78</v>
      </c>
      <c r="T28" s="84">
        <v>198</v>
      </c>
      <c r="U28" s="84">
        <v>15.54</v>
      </c>
      <c r="V28" s="84">
        <v>1.86</v>
      </c>
      <c r="W28" s="84">
        <v>334</v>
      </c>
      <c r="X28" s="84">
        <v>28.21</v>
      </c>
      <c r="Y28" s="84">
        <v>2.12</v>
      </c>
      <c r="Z28" s="84">
        <v>74</v>
      </c>
      <c r="AA28" s="84">
        <v>21.37</v>
      </c>
      <c r="AB28" s="84">
        <v>1.76</v>
      </c>
    </row>
    <row r="29" spans="1:30" s="84" customFormat="1">
      <c r="A29" s="14">
        <v>43550</v>
      </c>
      <c r="B29" s="86">
        <v>75</v>
      </c>
      <c r="C29" s="86">
        <v>16.55</v>
      </c>
      <c r="D29" s="86">
        <v>1.47</v>
      </c>
      <c r="E29" s="86">
        <v>571</v>
      </c>
      <c r="F29" s="86">
        <v>22.06</v>
      </c>
      <c r="G29" s="86">
        <v>2.16</v>
      </c>
      <c r="H29" s="86">
        <v>972</v>
      </c>
      <c r="I29" s="86">
        <v>29.64</v>
      </c>
      <c r="J29" s="86">
        <v>2.2599999999999998</v>
      </c>
      <c r="K29" s="86">
        <v>597</v>
      </c>
      <c r="L29" s="86">
        <v>24.55</v>
      </c>
      <c r="M29" s="86">
        <v>2.08</v>
      </c>
      <c r="N29" s="86">
        <v>225</v>
      </c>
      <c r="O29" s="86">
        <v>32.700000000000003</v>
      </c>
      <c r="P29" s="86">
        <v>2.61</v>
      </c>
      <c r="Q29" s="86">
        <v>297</v>
      </c>
      <c r="R29" s="86">
        <v>30.12</v>
      </c>
      <c r="S29" s="86">
        <v>2.73</v>
      </c>
      <c r="T29" s="86">
        <v>237</v>
      </c>
      <c r="U29" s="86">
        <v>14.83</v>
      </c>
      <c r="V29" s="86">
        <v>1.49</v>
      </c>
      <c r="W29" s="86">
        <v>599</v>
      </c>
      <c r="X29" s="86">
        <v>44.51</v>
      </c>
      <c r="Y29" s="86">
        <v>3.23</v>
      </c>
      <c r="Z29" s="86">
        <v>109</v>
      </c>
      <c r="AA29" s="86">
        <v>24.04</v>
      </c>
      <c r="AB29" s="86">
        <v>1.57</v>
      </c>
      <c r="AC29" s="84">
        <v>26.631022353011982</v>
      </c>
      <c r="AD29" s="84">
        <v>2.255500658127128</v>
      </c>
    </row>
    <row r="30" spans="1:30">
      <c r="A30" s="84" t="s">
        <v>7359</v>
      </c>
      <c r="B30" s="84"/>
      <c r="C30" s="60">
        <f>IF(C27/C29-1&gt;0,0,C27/C29-1)</f>
        <v>-0.35709969788519635</v>
      </c>
      <c r="D30" s="60">
        <f>IF(D27/D29-1&gt;0,0,D27/D29-1)</f>
        <v>0</v>
      </c>
      <c r="E30" s="84"/>
      <c r="F30" s="60">
        <f>IF(F27/F29-1&gt;0,0,F27/F29-1)</f>
        <v>-0.55530371713508608</v>
      </c>
      <c r="G30" s="60">
        <f>IF(G27/G29-1&gt;0,0,G27/G29-1)</f>
        <v>-0.37962962962962965</v>
      </c>
      <c r="H30" s="84"/>
      <c r="I30" s="60">
        <f t="shared" ref="I30:J32" si="0">IF(I27/I29-1&gt;0,0,I27/I29-1)</f>
        <v>-0.48178137651821862</v>
      </c>
      <c r="J30" s="60">
        <f t="shared" si="0"/>
        <v>-0.26991150442477874</v>
      </c>
      <c r="K30" s="84"/>
      <c r="L30" s="60">
        <f t="shared" ref="L30:M32" si="1">IF(L27/L29-1&gt;0,0,L27/L29-1)</f>
        <v>-0.47617107942973524</v>
      </c>
      <c r="M30" s="60">
        <f t="shared" si="1"/>
        <v>-0.25961538461538458</v>
      </c>
      <c r="N30" s="84"/>
      <c r="O30" s="60">
        <f t="shared" ref="O30:P32" si="2">IF(O27/O29-1&gt;0,0,O27/O29-1)</f>
        <v>-0.27798165137614683</v>
      </c>
      <c r="P30" s="60">
        <f t="shared" si="2"/>
        <v>-0.25287356321839083</v>
      </c>
      <c r="Q30" s="84"/>
      <c r="R30" s="60">
        <f t="shared" ref="R30:S32" si="3">IF(R27/R29-1&gt;0,0,R27/R29-1)</f>
        <v>-0.35624169986719789</v>
      </c>
      <c r="S30" s="60">
        <f t="shared" si="3"/>
        <v>-0.23443223443223449</v>
      </c>
      <c r="T30" s="84"/>
      <c r="U30" s="60">
        <f t="shared" ref="U30:V32" si="4">IF(U27/U29-1&gt;0,0,U27/U29-1)</f>
        <v>-9.6426163182737668E-2</v>
      </c>
      <c r="V30" s="60">
        <f t="shared" si="4"/>
        <v>0</v>
      </c>
      <c r="W30" s="84"/>
      <c r="X30" s="60">
        <f t="shared" ref="X30:Y32" si="5">IF(X27/X29-1&gt;0,0,X27/X29-1)</f>
        <v>-0.71961356998427317</v>
      </c>
      <c r="Y30" s="60">
        <f t="shared" si="5"/>
        <v>-0.51702786377708976</v>
      </c>
      <c r="Z30" s="84"/>
      <c r="AA30" s="60">
        <f t="shared" ref="AA30:AB32" si="6">IF(AA27/AA29-1&gt;0,0,AA27/AA29-1)</f>
        <v>-0.14808652246256238</v>
      </c>
      <c r="AB30" s="60">
        <f t="shared" si="6"/>
        <v>-0.13375796178343946</v>
      </c>
    </row>
    <row r="31" spans="1:30">
      <c r="A31" s="3">
        <v>42166</v>
      </c>
      <c r="B31" s="159">
        <v>66</v>
      </c>
      <c r="C31" s="159">
        <v>78.040000000000006</v>
      </c>
      <c r="D31" s="159">
        <v>3.46</v>
      </c>
      <c r="E31" s="159">
        <v>496</v>
      </c>
      <c r="F31" s="159">
        <v>86.44</v>
      </c>
      <c r="G31" s="159">
        <v>5.42</v>
      </c>
      <c r="H31" s="159">
        <v>730</v>
      </c>
      <c r="I31" s="159">
        <v>70.430000000000007</v>
      </c>
      <c r="J31" s="159">
        <v>6.7</v>
      </c>
      <c r="K31" s="159">
        <v>447</v>
      </c>
      <c r="L31" s="159">
        <v>68.349999999999994</v>
      </c>
      <c r="M31" s="159">
        <v>6.35</v>
      </c>
      <c r="N31" s="159">
        <v>184</v>
      </c>
      <c r="O31" s="159">
        <v>84.59</v>
      </c>
      <c r="P31" s="159">
        <v>6.62</v>
      </c>
      <c r="Q31" s="159">
        <v>203</v>
      </c>
      <c r="R31" s="159">
        <v>88.23</v>
      </c>
      <c r="S31" s="159">
        <v>8.7100000000000009</v>
      </c>
      <c r="T31" s="159">
        <v>198</v>
      </c>
      <c r="U31" s="159">
        <v>34.200000000000003</v>
      </c>
      <c r="V31" s="159">
        <v>4.0999999999999996</v>
      </c>
      <c r="W31" s="159">
        <v>394</v>
      </c>
      <c r="X31" s="159">
        <v>110.74</v>
      </c>
      <c r="Y31" s="159">
        <v>10.44</v>
      </c>
      <c r="Z31" s="159">
        <v>86</v>
      </c>
      <c r="AA31" s="159">
        <v>39.99</v>
      </c>
      <c r="AB31" s="159">
        <v>4.54</v>
      </c>
    </row>
    <row r="32" spans="1:30">
      <c r="A32" s="159" t="s">
        <v>7641</v>
      </c>
      <c r="B32" s="159"/>
      <c r="C32" s="60">
        <f>IF(C31/C29-1&gt;0,C31/C29-1,0)</f>
        <v>3.7154078549848943</v>
      </c>
      <c r="D32" s="60">
        <f>IF(D31/D29-1&gt;0,D31/D29-1,0)</f>
        <v>1.3537414965986394</v>
      </c>
      <c r="E32" s="159"/>
      <c r="F32" s="60">
        <f>IF(F31/F29-1&gt;0,F31/F29-1,0)</f>
        <v>2.9184043517679057</v>
      </c>
      <c r="G32" s="60">
        <f>IF(G31/G29-1&gt;0,G31/G29-1,0)</f>
        <v>1.5092592592592591</v>
      </c>
      <c r="H32" s="159"/>
      <c r="I32" s="60">
        <f>IF(I31/I29-1&gt;0,I31/I29-1,0)</f>
        <v>1.3761808367071526</v>
      </c>
      <c r="J32" s="60">
        <f>IF(J31/J29-1&gt;0,J31/J29-1,0)</f>
        <v>1.9646017699115048</v>
      </c>
      <c r="K32" s="159"/>
      <c r="L32" s="60">
        <f>IF(L31/L29-1&gt;0,L31/L29-1,0)</f>
        <v>1.7841140529531567</v>
      </c>
      <c r="M32" s="60">
        <f>IF(M31/M29-1&gt;0,M31/M29-1,0)</f>
        <v>2.052884615384615</v>
      </c>
      <c r="N32" s="159"/>
      <c r="O32" s="60">
        <f>IF(O31/O29-1&gt;0,O31/O29-1,0)</f>
        <v>1.5868501529051988</v>
      </c>
      <c r="P32" s="60">
        <f>IF(P31/P29-1&gt;0,P31/P29-1,0)</f>
        <v>1.5363984674329503</v>
      </c>
      <c r="Q32" s="159"/>
      <c r="R32" s="60">
        <f>IF(R31/R29-1&gt;0,R31/R29-1,0)</f>
        <v>1.9292828685258963</v>
      </c>
      <c r="S32" s="60">
        <f>IF(S31/S29-1&gt;0,S31/S29-1,0)</f>
        <v>2.1904761904761907</v>
      </c>
      <c r="T32" s="159"/>
      <c r="U32" s="60">
        <f>IF(U31/U29-1&gt;0,U31/U29-1,0)</f>
        <v>1.3061362103843561</v>
      </c>
      <c r="V32" s="60">
        <f>IF(V31/V29-1&gt;0,V31/V29-1,0)</f>
        <v>1.7516778523489931</v>
      </c>
      <c r="W32" s="159"/>
      <c r="X32" s="60">
        <f>IF(X31/X29-1&gt;0,X31/X29-1,0)</f>
        <v>1.4879802291619861</v>
      </c>
      <c r="Y32" s="60">
        <f>IF(Y31/Y29-1&gt;0,Y31/Y29-1,0)</f>
        <v>2.2321981424148607</v>
      </c>
      <c r="Z32" s="159"/>
      <c r="AA32" s="60">
        <f>IF(AA31/AA29-1&gt;0,AA31/AA29-1,0)</f>
        <v>0.66347753743760407</v>
      </c>
      <c r="AB32" s="60">
        <f>IF(AB31/AB29-1&gt;0,AB31/AB29-1,0)</f>
        <v>1.8917197452229297</v>
      </c>
    </row>
    <row r="35" spans="1:16">
      <c r="A35" s="164" t="s">
        <v>7646</v>
      </c>
      <c r="B35" s="84" t="s">
        <v>7363</v>
      </c>
      <c r="C35" s="84" t="str">
        <f>指数行业占比!K1</f>
        <v>能源</v>
      </c>
      <c r="D35" s="84" t="str">
        <f>指数行业占比!L1</f>
        <v>原材料</v>
      </c>
      <c r="E35" s="84" t="str">
        <f>指数行业占比!M1</f>
        <v>工业</v>
      </c>
      <c r="F35" s="84" t="str">
        <f>指数行业占比!N1</f>
        <v>可选消费</v>
      </c>
      <c r="G35" s="84" t="str">
        <f>指数行业占比!O1</f>
        <v>主要消费</v>
      </c>
      <c r="H35" s="84" t="str">
        <f>指数行业占比!P1</f>
        <v>医药卫生</v>
      </c>
      <c r="I35" s="84" t="str">
        <f>指数行业占比!Q1</f>
        <v>金融地产</v>
      </c>
      <c r="J35" s="84" t="str">
        <f>指数行业占比!R1</f>
        <v>信息技术</v>
      </c>
      <c r="K35" s="84" t="str">
        <f>指数行业占比!S1</f>
        <v>电信业务</v>
      </c>
      <c r="L35" s="159" t="str">
        <f>指数行业占比!T1</f>
        <v>公用事业</v>
      </c>
      <c r="M35" s="159" t="s">
        <v>7360</v>
      </c>
      <c r="N35" s="159" t="s">
        <v>7361</v>
      </c>
      <c r="O35" s="159" t="s">
        <v>7362</v>
      </c>
      <c r="P35" s="159" t="s">
        <v>7364</v>
      </c>
    </row>
    <row r="36" spans="1:16" ht="12.75" customHeight="1">
      <c r="A36" s="149" t="str">
        <f>A3</f>
        <v>上证50</v>
      </c>
      <c r="B36" s="83">
        <f>B3</f>
        <v>8.6489648747794193E-3</v>
      </c>
      <c r="C36" s="58">
        <f>(1+$D$30)*C3</f>
        <v>3.6400000000000002E-2</v>
      </c>
      <c r="D36" s="58">
        <f>(1+$G$30)*D3</f>
        <v>3.0460185185185184E-2</v>
      </c>
      <c r="E36" s="58">
        <f>(1+$J$30)*E3</f>
        <v>7.5783185840707964E-2</v>
      </c>
      <c r="F36" s="58">
        <f>(1+$M$30)*F3</f>
        <v>3.4946153846153849E-2</v>
      </c>
      <c r="G36" s="58">
        <f>(1+$P$30)*G3</f>
        <v>7.5683908045977008E-2</v>
      </c>
      <c r="H36" s="58">
        <f>(1+$S$30)*H3</f>
        <v>2.6335531135531134E-2</v>
      </c>
      <c r="I36" s="58">
        <f>(1+$V$30)*I3</f>
        <v>0.60509999999999997</v>
      </c>
      <c r="J36" s="58">
        <f>(1+$Y$30)*J3</f>
        <v>5.5541795665634674E-3</v>
      </c>
      <c r="K36" s="58">
        <f>(1+$AB$30)*K3</f>
        <v>9.7019108280254774E-3</v>
      </c>
      <c r="L36" s="58">
        <f>(1+$AB$30)*L3</f>
        <v>0</v>
      </c>
      <c r="M36" s="60">
        <f>SUM(C36:L36)-1</f>
        <v>-0.10003494555185599</v>
      </c>
      <c r="N36" s="159">
        <v>2706.15</v>
      </c>
      <c r="O36" s="61">
        <f>N36*(1+M36)</f>
        <v>2435.4404320948452</v>
      </c>
      <c r="P36" s="60">
        <f>B36*(1+M36)</f>
        <v>7.7837661444509453E-3</v>
      </c>
    </row>
    <row r="37" spans="1:16" ht="12.75" customHeight="1">
      <c r="A37" s="149" t="str">
        <f t="shared" ref="A37:B37" si="7">A4</f>
        <v>沪深300</v>
      </c>
      <c r="B37" s="158">
        <f t="shared" si="7"/>
        <v>5.8682752002597184E-2</v>
      </c>
      <c r="C37" s="58">
        <f>(1+$D$30)*C4</f>
        <v>2.69E-2</v>
      </c>
      <c r="D37" s="58">
        <f>(1+$G$30)*D4</f>
        <v>4.3612037037037039E-2</v>
      </c>
      <c r="E37" s="58">
        <f>(1+$J$30)*E4</f>
        <v>9.5495575221238943E-2</v>
      </c>
      <c r="F37" s="58">
        <f>(1+$M$30)*F4</f>
        <v>7.7962500000000004E-2</v>
      </c>
      <c r="G37" s="58">
        <f>(1+$P$30)*G4</f>
        <v>6.8137931034482763E-2</v>
      </c>
      <c r="H37" s="58">
        <f>(1+$S$30)*H4</f>
        <v>4.6852747252747247E-2</v>
      </c>
      <c r="I37" s="58">
        <f>(1+$V$30)*I4</f>
        <v>0.39539999999999997</v>
      </c>
      <c r="J37" s="58">
        <f>(1+$Y$30)*J4</f>
        <v>4.0086687306501549E-2</v>
      </c>
      <c r="K37" s="58">
        <f>(1+$AB$30)*K4</f>
        <v>4.4178343949044588E-3</v>
      </c>
      <c r="L37" s="58">
        <f>(1+$AB$30)*L4</f>
        <v>2.6593630573248411E-2</v>
      </c>
      <c r="M37" s="60">
        <f>SUM(C37:L37)-1</f>
        <v>-0.17454105717983959</v>
      </c>
      <c r="N37" s="159">
        <v>3700.44</v>
      </c>
      <c r="O37" s="61">
        <f>N37*(1+M37)</f>
        <v>3054.5612903694346</v>
      </c>
      <c r="P37" s="60">
        <f>B37*(1+M37)</f>
        <v>4.8440202429841525E-2</v>
      </c>
    </row>
    <row r="38" spans="1:16">
      <c r="A38" s="150" t="str">
        <f t="shared" ref="A38:B38" si="8">A5</f>
        <v>中证500</v>
      </c>
      <c r="B38" s="158">
        <f t="shared" si="8"/>
        <v>0.2209974844188228</v>
      </c>
      <c r="C38" s="58">
        <f>(1+$D$30)*C5</f>
        <v>2.2200000000000001E-2</v>
      </c>
      <c r="D38" s="58">
        <f>(1+$G$30)*D5</f>
        <v>0.10645555555555555</v>
      </c>
      <c r="E38" s="58">
        <f>(1+$J$30)*E5</f>
        <v>0.14645575221238938</v>
      </c>
      <c r="F38" s="58">
        <f>(1+$M$30)*F5</f>
        <v>9.6990384615384617E-2</v>
      </c>
      <c r="G38" s="58">
        <f>(1+$P$30)*G5</f>
        <v>6.2011494252873563E-2</v>
      </c>
      <c r="H38" s="58">
        <f>(1+$S$30)*H5</f>
        <v>6.5838827838827829E-2</v>
      </c>
      <c r="I38" s="58">
        <f>(1+$V$30)*I5</f>
        <v>9.5500000000000002E-2</v>
      </c>
      <c r="J38" s="58">
        <f>(1+$Y$30)*J5</f>
        <v>8.3167801857585141E-2</v>
      </c>
      <c r="K38" s="58">
        <f t="shared" ref="K38:L38" si="9">(1+$AB$30)*K5</f>
        <v>2.9452229299363059E-3</v>
      </c>
      <c r="L38" s="58">
        <f t="shared" si="9"/>
        <v>2.7719745222929939E-2</v>
      </c>
      <c r="M38" s="60">
        <f t="shared" ref="M38:M48" si="10">SUM(C38:L38)-1</f>
        <v>-0.29071521551451773</v>
      </c>
      <c r="N38" s="159">
        <v>5394.88</v>
      </c>
      <c r="O38" s="61">
        <f t="shared" ref="O38:O48" si="11">N38*(1+M38)</f>
        <v>3826.5062981250385</v>
      </c>
      <c r="P38" s="60">
        <f>B38*(1+M38)</f>
        <v>0.15675015310783846</v>
      </c>
    </row>
    <row r="39" spans="1:16">
      <c r="A39" s="150" t="str">
        <f t="shared" ref="A39:B39" si="12">A6</f>
        <v>中证1000</v>
      </c>
      <c r="B39" s="158">
        <f t="shared" si="12"/>
        <v>4.5410093578134074E-2</v>
      </c>
      <c r="C39" s="58">
        <f>(1+$D$30)*C6</f>
        <v>2.41E-2</v>
      </c>
      <c r="D39" s="58">
        <f>(1+$G$30)*D6</f>
        <v>0.10205092592592593</v>
      </c>
      <c r="E39" s="58">
        <f>(1+$J$30)*E6</f>
        <v>0.16302876106194691</v>
      </c>
      <c r="F39" s="58">
        <f>(1+$M$30)*F6</f>
        <v>9.8249038461538471E-2</v>
      </c>
      <c r="G39" s="58">
        <f>(1+$P$30)*G6</f>
        <v>4.9086206896551715E-2</v>
      </c>
      <c r="H39" s="58">
        <f>(1+$S$30)*H6</f>
        <v>7.5025641025641021E-2</v>
      </c>
      <c r="I39" s="58">
        <f>(1+$V$30)*I6</f>
        <v>4.2900000000000001E-2</v>
      </c>
      <c r="J39" s="58">
        <f>(1+$Y$30)*J6</f>
        <v>0.10755789473684212</v>
      </c>
      <c r="K39" s="58">
        <f t="shared" ref="K39:L39" si="13">(1+$AB$30)*K6</f>
        <v>9.5286624203821664E-4</v>
      </c>
      <c r="L39" s="58">
        <f t="shared" si="13"/>
        <v>2.1829299363057327E-2</v>
      </c>
      <c r="M39" s="60">
        <f t="shared" si="10"/>
        <v>-0.3152193662864583</v>
      </c>
      <c r="N39" s="159">
        <v>5788.36</v>
      </c>
      <c r="O39" s="61">
        <f t="shared" si="11"/>
        <v>3963.7568289621158</v>
      </c>
      <c r="P39" s="60">
        <f>B39*(1+M39)</f>
        <v>3.1095952657425881E-2</v>
      </c>
    </row>
    <row r="40" spans="1:16">
      <c r="A40" s="150" t="str">
        <f t="shared" ref="A40:B40" si="14">A7</f>
        <v>创业板</v>
      </c>
      <c r="B40" s="158">
        <f t="shared" si="14"/>
        <v>2.683892186227364E-2</v>
      </c>
      <c r="C40" s="58">
        <f>(1+$D$30)*C7</f>
        <v>0</v>
      </c>
      <c r="D40" s="58">
        <f>(1+$G$30)*D7</f>
        <v>2.2085185185185183E-2</v>
      </c>
      <c r="E40" s="58">
        <f>(1+$J$30)*E7</f>
        <v>0.14346238938053099</v>
      </c>
      <c r="F40" s="58">
        <f>(1+$M$30)*F7</f>
        <v>4.9605769230769238E-2</v>
      </c>
      <c r="G40" s="58">
        <f>(1+$P$30)*G7</f>
        <v>0.10026436781609196</v>
      </c>
      <c r="H40" s="58">
        <f>(1+$S$30)*H7</f>
        <v>0.12922783882783881</v>
      </c>
      <c r="I40" s="58">
        <f>(1+$V$30)*I7</f>
        <v>5.5300000000000002E-2</v>
      </c>
      <c r="J40" s="58">
        <f>(1+$Y$30)*J7</f>
        <v>0.16546625386996905</v>
      </c>
      <c r="K40" s="58">
        <f t="shared" ref="K40:L40" si="15">(1+$AB$30)*K7</f>
        <v>0</v>
      </c>
      <c r="L40" s="58">
        <f t="shared" si="15"/>
        <v>0</v>
      </c>
      <c r="M40" s="60">
        <f t="shared" si="10"/>
        <v>-0.33458819568961473</v>
      </c>
      <c r="N40" s="159">
        <v>1630.19</v>
      </c>
      <c r="O40" s="61">
        <f t="shared" si="11"/>
        <v>1084.7476692687469</v>
      </c>
      <c r="P40" s="60">
        <f>B40*(1+M40)</f>
        <v>1.7858935422120949E-2</v>
      </c>
    </row>
    <row r="41" spans="1:16">
      <c r="A41" s="151" t="str">
        <f t="shared" ref="A41:B41" si="16">A8</f>
        <v>中证红利</v>
      </c>
      <c r="B41" s="158">
        <f t="shared" si="16"/>
        <v>8.6911248151905096E-2</v>
      </c>
      <c r="C41" s="58">
        <f>(1+$D$30)*C8</f>
        <v>4.82E-2</v>
      </c>
      <c r="D41" s="58">
        <f>(1+$G$30)*D8</f>
        <v>6.3339814814814807E-2</v>
      </c>
      <c r="E41" s="58">
        <f>(1+$J$30)*E8</f>
        <v>0.14528761061946904</v>
      </c>
      <c r="F41" s="58">
        <f>(1+$M$30)*F8</f>
        <v>0.13711923076923077</v>
      </c>
      <c r="G41" s="58">
        <f>(1+$P$30)*G8</f>
        <v>4.9011494252873565E-2</v>
      </c>
      <c r="H41" s="58">
        <f>(1+$S$30)*H8</f>
        <v>2.3426373626373623E-2</v>
      </c>
      <c r="I41" s="58">
        <f>(1+$V$30)*I8</f>
        <v>0.26369999999999999</v>
      </c>
      <c r="J41" s="58">
        <f>(1+$Y$30)*J8</f>
        <v>1.4199380804953561E-2</v>
      </c>
      <c r="K41" s="58">
        <f t="shared" ref="K41:L41" si="17">(1+$AB$30)*K8</f>
        <v>0</v>
      </c>
      <c r="L41" s="58">
        <f t="shared" si="17"/>
        <v>6.609426751592358E-2</v>
      </c>
      <c r="M41" s="60">
        <f t="shared" si="10"/>
        <v>-0.18962182759636104</v>
      </c>
      <c r="N41" s="159">
        <v>4592.3500000000004</v>
      </c>
      <c r="O41" s="61">
        <f t="shared" si="11"/>
        <v>3721.5402000378517</v>
      </c>
      <c r="P41" s="60">
        <f>B41*(1+M41)</f>
        <v>7.0430978438660002E-2</v>
      </c>
    </row>
    <row r="42" spans="1:16">
      <c r="A42" s="152" t="str">
        <f t="shared" ref="A42:B42" si="18">A9</f>
        <v>养老产业</v>
      </c>
      <c r="B42" s="158">
        <f t="shared" si="18"/>
        <v>7.5001875332379106E-2</v>
      </c>
      <c r="C42" s="58">
        <f>(1+$D$30)*C9</f>
        <v>0</v>
      </c>
      <c r="D42" s="58">
        <f>(1+$G$30)*D9</f>
        <v>0</v>
      </c>
      <c r="E42" s="58">
        <f>(1+$J$30)*E9</f>
        <v>0</v>
      </c>
      <c r="F42" s="58">
        <f>(1+$M$30)*F9</f>
        <v>0.21833942307692308</v>
      </c>
      <c r="G42" s="58">
        <f>(1+$P$30)*G9</f>
        <v>0.10459770114942529</v>
      </c>
      <c r="H42" s="58">
        <f>(1+$S$30)*H9</f>
        <v>0.25079999999999997</v>
      </c>
      <c r="I42" s="58">
        <f>(1+$V$30)*I9</f>
        <v>0.104</v>
      </c>
      <c r="J42" s="58">
        <f>(1+$Y$30)*J9</f>
        <v>6.4525077399380806E-2</v>
      </c>
      <c r="K42" s="58">
        <f t="shared" ref="K42:L42" si="19">(1+$AB$30)*K9</f>
        <v>0</v>
      </c>
      <c r="L42" s="58">
        <f t="shared" si="19"/>
        <v>0</v>
      </c>
      <c r="M42" s="60">
        <f t="shared" si="10"/>
        <v>-0.25773779837427091</v>
      </c>
      <c r="N42" s="159">
        <v>7539.8</v>
      </c>
      <c r="O42" s="61">
        <f t="shared" si="11"/>
        <v>5596.5085478176725</v>
      </c>
      <c r="P42" s="60">
        <f>B42*(1+M42)</f>
        <v>5.5671057110270178E-2</v>
      </c>
    </row>
    <row r="43" spans="1:16">
      <c r="A43" s="152" t="str">
        <f t="shared" ref="A43:B43" si="20">A10</f>
        <v>全指医药</v>
      </c>
      <c r="B43" s="158">
        <f t="shared" si="20"/>
        <v>6.0711859906494199E-2</v>
      </c>
      <c r="C43" s="58">
        <f>(1+$D$30)*C10</f>
        <v>0</v>
      </c>
      <c r="D43" s="58">
        <f>(1+$G$30)*D10</f>
        <v>8.0648148148148137E-4</v>
      </c>
      <c r="E43" s="58">
        <f>(1+$J$30)*E10</f>
        <v>7.3008849557522132E-4</v>
      </c>
      <c r="F43" s="58">
        <f>(1+$M$30)*F10</f>
        <v>4.1461538461538463E-3</v>
      </c>
      <c r="G43" s="58">
        <f>(1+$P$30)*G10</f>
        <v>6.0293103448275855E-2</v>
      </c>
      <c r="H43" s="58">
        <f>(1+$S$30)*H10</f>
        <v>0.6858721611721611</v>
      </c>
      <c r="I43" s="58">
        <f>(1+$V$30)*I10</f>
        <v>0</v>
      </c>
      <c r="J43" s="58">
        <f>(1+$Y$30)*J10</f>
        <v>7.4377708978328183E-3</v>
      </c>
      <c r="K43" s="58">
        <f t="shared" ref="K43:L43" si="21">(1+$AB$30)*K10</f>
        <v>0</v>
      </c>
      <c r="L43" s="58">
        <f t="shared" si="21"/>
        <v>0</v>
      </c>
      <c r="M43" s="60">
        <f t="shared" si="10"/>
        <v>-0.24071424065851965</v>
      </c>
      <c r="N43" s="159">
        <v>9258.2999999999993</v>
      </c>
      <c r="O43" s="61">
        <f t="shared" si="11"/>
        <v>7029.6953457112268</v>
      </c>
      <c r="P43" s="60">
        <f>B43*(1+M43)</f>
        <v>4.6097650650136025E-2</v>
      </c>
    </row>
    <row r="44" spans="1:16">
      <c r="A44" s="152" t="str">
        <f t="shared" ref="A44:B44" si="22">A11</f>
        <v>中证传媒</v>
      </c>
      <c r="B44" s="158">
        <f t="shared" si="22"/>
        <v>3.6306181085139826E-2</v>
      </c>
      <c r="C44" s="58">
        <f>(1+$D$30)*C11</f>
        <v>0</v>
      </c>
      <c r="D44" s="58">
        <f>(1+$G$30)*D11</f>
        <v>0</v>
      </c>
      <c r="E44" s="58">
        <f>(1+$J$30)*E11</f>
        <v>0</v>
      </c>
      <c r="F44" s="58">
        <f>(1+$M$30)*F11</f>
        <v>0.36019711538461541</v>
      </c>
      <c r="G44" s="58">
        <f>(1+$P$30)*G11</f>
        <v>0</v>
      </c>
      <c r="H44" s="58">
        <f>(1+$S$30)*H11</f>
        <v>0</v>
      </c>
      <c r="I44" s="58">
        <f>(1+$V$30)*I11</f>
        <v>9.9299999999999999E-2</v>
      </c>
      <c r="J44" s="58">
        <f>(1+$Y$30)*J11</f>
        <v>0.20004705882352944</v>
      </c>
      <c r="K44" s="58">
        <f t="shared" ref="K44:L44" si="23">(1+$AB$30)*K11</f>
        <v>0</v>
      </c>
      <c r="L44" s="58">
        <f t="shared" si="23"/>
        <v>0</v>
      </c>
      <c r="M44" s="60">
        <f t="shared" si="10"/>
        <v>-0.34045582579185518</v>
      </c>
      <c r="N44" s="159">
        <v>1454.12</v>
      </c>
      <c r="O44" s="61">
        <f t="shared" si="11"/>
        <v>959.05637459954744</v>
      </c>
      <c r="P44" s="60">
        <f>B44*(1+M44)</f>
        <v>2.3945530222449912E-2</v>
      </c>
    </row>
    <row r="45" spans="1:16">
      <c r="A45" s="152" t="str">
        <f t="shared" ref="A45:B45" si="24">A12</f>
        <v>中证环保</v>
      </c>
      <c r="B45" s="158">
        <f t="shared" si="24"/>
        <v>5.4230713511398659E-2</v>
      </c>
      <c r="C45" s="58">
        <f>(1+$D$30)*C12</f>
        <v>0</v>
      </c>
      <c r="D45" s="58">
        <f>(1+$G$30)*D12</f>
        <v>5.446851851851852E-2</v>
      </c>
      <c r="E45" s="58">
        <f>(1+$J$30)*E12</f>
        <v>0.36066371681415932</v>
      </c>
      <c r="F45" s="58">
        <f>(1+$M$30)*F12</f>
        <v>3.8129807692307692E-2</v>
      </c>
      <c r="G45" s="58">
        <f>(1+$P$30)*G12</f>
        <v>0</v>
      </c>
      <c r="H45" s="58">
        <f>(1+$S$30)*H12</f>
        <v>0</v>
      </c>
      <c r="I45" s="58">
        <f>(1+$V$30)*I12</f>
        <v>0</v>
      </c>
      <c r="J45" s="58">
        <f>(1+$Y$30)*J12</f>
        <v>9.6256346749226007E-2</v>
      </c>
      <c r="K45" s="58">
        <f t="shared" ref="K45:L45" si="25">(1+$AB$30)*K12</f>
        <v>0</v>
      </c>
      <c r="L45" s="58">
        <f t="shared" si="25"/>
        <v>0.14492229299363057</v>
      </c>
      <c r="M45" s="60">
        <f t="shared" si="10"/>
        <v>-0.3055593172321579</v>
      </c>
      <c r="N45" s="159">
        <v>1328.9</v>
      </c>
      <c r="O45" s="61">
        <f t="shared" si="11"/>
        <v>922.84222333018545</v>
      </c>
      <c r="P45" s="60">
        <f>B45*(1+M45)</f>
        <v>3.7660013717842923E-2</v>
      </c>
    </row>
    <row r="46" spans="1:16">
      <c r="A46" s="152" t="str">
        <f t="shared" ref="A46:B46" si="26">A13</f>
        <v>全指消费</v>
      </c>
      <c r="B46" s="158">
        <f t="shared" si="26"/>
        <v>1.036221639728804E-2</v>
      </c>
      <c r="C46" s="58">
        <f>(1+$D$30)*C13</f>
        <v>0</v>
      </c>
      <c r="D46" s="58">
        <f>(1+$G$30)*D13</f>
        <v>4.5907407407407407E-3</v>
      </c>
      <c r="E46" s="58">
        <f>(1+$J$30)*E13</f>
        <v>0</v>
      </c>
      <c r="F46" s="58">
        <f>(1+$M$30)*F13</f>
        <v>5.9230769230769233E-4</v>
      </c>
      <c r="G46" s="58">
        <f>(1+$P$30)*G13</f>
        <v>0.74002873563218396</v>
      </c>
      <c r="H46" s="58">
        <f>(1+$S$30)*H13</f>
        <v>9.9523809523809504E-4</v>
      </c>
      <c r="I46" s="58">
        <f>(1+$V$30)*I13</f>
        <v>0</v>
      </c>
      <c r="J46" s="58">
        <f>(1+$Y$30)*J13</f>
        <v>0</v>
      </c>
      <c r="K46" s="58">
        <f t="shared" ref="K46:L46" si="27">(1+$AB$30)*K13</f>
        <v>0</v>
      </c>
      <c r="L46" s="58">
        <f t="shared" si="27"/>
        <v>0</v>
      </c>
      <c r="M46" s="60">
        <f t="shared" si="10"/>
        <v>-0.25379297783952959</v>
      </c>
      <c r="N46" s="159">
        <v>11910.51</v>
      </c>
      <c r="O46" s="61">
        <f t="shared" si="11"/>
        <v>8887.7061995125041</v>
      </c>
      <c r="P46" s="60">
        <f>B46*(1+M46)</f>
        <v>7.732358640802706E-3</v>
      </c>
    </row>
    <row r="47" spans="1:16">
      <c r="A47" s="152" t="str">
        <f t="shared" ref="A47:B47" si="28">A14</f>
        <v>金融地产</v>
      </c>
      <c r="B47" s="158">
        <f t="shared" si="28"/>
        <v>2.6395313328965119E-2</v>
      </c>
      <c r="C47" s="58">
        <f>(1+$D$30)*C14</f>
        <v>0</v>
      </c>
      <c r="D47" s="58">
        <f>(1+$G$30)*D14</f>
        <v>0</v>
      </c>
      <c r="E47" s="58">
        <f>(1+$J$30)*E14</f>
        <v>0</v>
      </c>
      <c r="F47" s="58">
        <f>(1+$M$30)*F14</f>
        <v>5.7009615384615393E-3</v>
      </c>
      <c r="G47" s="58">
        <f>(1+$P$30)*G14</f>
        <v>0</v>
      </c>
      <c r="H47" s="58">
        <f>(1+$S$30)*H14</f>
        <v>5.358974358974359E-4</v>
      </c>
      <c r="I47" s="58">
        <f>(1+$V$30)*I14</f>
        <v>0.99070000000000003</v>
      </c>
      <c r="J47" s="58">
        <f>(1+$Y$30)*J14</f>
        <v>3.8637770897832823E-4</v>
      </c>
      <c r="K47" s="58">
        <f t="shared" ref="K47:L47" si="29">(1+$AB$30)*K14</f>
        <v>0</v>
      </c>
      <c r="L47" s="58">
        <f t="shared" si="29"/>
        <v>0</v>
      </c>
      <c r="M47" s="60">
        <f t="shared" si="10"/>
        <v>-2.676763316662667E-3</v>
      </c>
      <c r="N47" s="159">
        <v>5871.18</v>
      </c>
      <c r="O47" s="61">
        <f t="shared" si="11"/>
        <v>5855.4642407504771</v>
      </c>
      <c r="P47" s="60">
        <f>B47*(1+M47)</f>
        <v>2.6324659322514328E-2</v>
      </c>
    </row>
    <row r="48" spans="1:16">
      <c r="A48" s="152" t="str">
        <f t="shared" ref="A48:B48" si="30">A15</f>
        <v>证券公司</v>
      </c>
      <c r="B48" s="158">
        <f t="shared" si="30"/>
        <v>4.0020971424133356E-2</v>
      </c>
      <c r="C48" s="58">
        <f>(1+$D$30)*C15</f>
        <v>0</v>
      </c>
      <c r="D48" s="58">
        <f>(1+$G$30)*D15</f>
        <v>0</v>
      </c>
      <c r="E48" s="58">
        <f>(1+$J$30)*E15</f>
        <v>0</v>
      </c>
      <c r="F48" s="58">
        <f>(1+$M$30)*F15</f>
        <v>0</v>
      </c>
      <c r="G48" s="58">
        <f>(1+$P$30)*G15</f>
        <v>0</v>
      </c>
      <c r="H48" s="58">
        <f>(1+$S$30)*H15</f>
        <v>0</v>
      </c>
      <c r="I48" s="58">
        <f>(1+$V$30)*I15</f>
        <v>1</v>
      </c>
      <c r="J48" s="58">
        <f>(1+$Y$30)*J15</f>
        <v>0</v>
      </c>
      <c r="K48" s="58">
        <f t="shared" ref="K48:L48" si="31">(1+$AB$30)*K15</f>
        <v>0</v>
      </c>
      <c r="L48" s="58">
        <f t="shared" si="31"/>
        <v>0</v>
      </c>
      <c r="M48" s="60">
        <f t="shared" si="10"/>
        <v>0</v>
      </c>
      <c r="N48" s="159">
        <v>755.01</v>
      </c>
      <c r="O48" s="61">
        <f t="shared" si="11"/>
        <v>755.01</v>
      </c>
      <c r="P48" s="60">
        <f>B48*(1+M48)</f>
        <v>4.0020971424133356E-2</v>
      </c>
    </row>
    <row r="49" spans="1:16">
      <c r="A49" s="153" t="str">
        <f t="shared" ref="A49:B49" si="32">A16</f>
        <v>恒生</v>
      </c>
      <c r="B49" s="158">
        <f t="shared" si="32"/>
        <v>7.7631551004905368E-3</v>
      </c>
      <c r="L49" s="159"/>
      <c r="M49" s="159"/>
      <c r="N49" s="159">
        <v>28566.91</v>
      </c>
      <c r="O49" s="159"/>
      <c r="P49" s="162">
        <f>B49</f>
        <v>7.7631551004905368E-3</v>
      </c>
    </row>
    <row r="50" spans="1:16">
      <c r="A50" s="153" t="str">
        <f t="shared" ref="A50:B50" si="33">A17</f>
        <v>海外互联网</v>
      </c>
      <c r="B50" s="158">
        <f t="shared" si="33"/>
        <v>1.5638789770585863E-2</v>
      </c>
      <c r="L50" s="159"/>
      <c r="M50" s="159"/>
      <c r="N50" s="159">
        <v>11419.48</v>
      </c>
      <c r="O50" s="159"/>
      <c r="P50" s="162">
        <f>B50</f>
        <v>1.5638789770585863E-2</v>
      </c>
    </row>
    <row r="51" spans="1:16">
      <c r="A51" s="153" t="str">
        <f t="shared" ref="A51:B51" si="34">A18</f>
        <v>德国30</v>
      </c>
      <c r="B51" s="158">
        <f t="shared" si="34"/>
        <v>1.8137506510313109E-2</v>
      </c>
      <c r="L51" s="159"/>
      <c r="M51" s="159"/>
      <c r="N51" s="163"/>
      <c r="O51" s="159"/>
      <c r="P51" s="162">
        <f>B51</f>
        <v>1.8137506510313109E-2</v>
      </c>
    </row>
    <row r="52" spans="1:16">
      <c r="A52" s="155" t="str">
        <f t="shared" ref="A52:B52" si="35">A19</f>
        <v>原油</v>
      </c>
      <c r="B52" s="158">
        <f t="shared" si="35"/>
        <v>1.5141161975205843E-2</v>
      </c>
      <c r="L52" s="159"/>
      <c r="M52" s="159"/>
      <c r="N52" s="159"/>
      <c r="O52" s="159"/>
      <c r="P52" s="162">
        <f>B52</f>
        <v>1.5141161975205843E-2</v>
      </c>
    </row>
    <row r="53" spans="1:16">
      <c r="A53" s="155" t="str">
        <f t="shared" ref="A53:B53" si="36">A20</f>
        <v>黄金</v>
      </c>
      <c r="B53" s="158">
        <f t="shared" si="36"/>
        <v>7.8430016373384846E-3</v>
      </c>
      <c r="L53" s="159"/>
      <c r="M53" s="159"/>
      <c r="N53" s="159"/>
      <c r="O53" s="159"/>
      <c r="P53" s="162">
        <f>B53</f>
        <v>7.8430016373384846E-3</v>
      </c>
    </row>
    <row r="54" spans="1:16">
      <c r="A54" s="154" t="str">
        <f t="shared" ref="A54:B54" si="37">A21</f>
        <v>可转债</v>
      </c>
      <c r="B54" s="158">
        <f t="shared" si="37"/>
        <v>5.8237343980737918E-2</v>
      </c>
      <c r="L54" s="159"/>
      <c r="M54" s="159"/>
      <c r="N54" s="159"/>
      <c r="O54" s="159"/>
      <c r="P54" s="162">
        <f>B54</f>
        <v>5.8237343980737918E-2</v>
      </c>
    </row>
    <row r="55" spans="1:16">
      <c r="A55" s="156" t="str">
        <f t="shared" ref="A55:B55" si="38">A22</f>
        <v>美元债</v>
      </c>
      <c r="B55" s="158">
        <f t="shared" si="38"/>
        <v>8.0432293441582894E-3</v>
      </c>
      <c r="L55" s="159"/>
      <c r="M55" s="159"/>
      <c r="N55" s="159"/>
      <c r="O55" s="159"/>
      <c r="P55" s="162">
        <f>B55</f>
        <v>8.0432293441582894E-3</v>
      </c>
    </row>
    <row r="56" spans="1:16">
      <c r="A56" s="156" t="str">
        <f t="shared" ref="A56:B56" si="39">A23</f>
        <v>货币基金</v>
      </c>
      <c r="B56" s="158">
        <f t="shared" si="39"/>
        <v>0.11867721580685973</v>
      </c>
      <c r="L56" s="159"/>
      <c r="M56" s="159"/>
      <c r="N56" s="159"/>
      <c r="O56" s="159"/>
      <c r="P56" s="162">
        <f>B56</f>
        <v>0.11867721580685973</v>
      </c>
    </row>
    <row r="57" spans="1:16">
      <c r="B57" s="158">
        <f>SUM(B36:B56)</f>
        <v>1.0000000000000002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66">
        <f>SUM(P36:P56)</f>
        <v>0.81929363341417705</v>
      </c>
    </row>
    <row r="58" spans="1:16">
      <c r="B58" s="158"/>
    </row>
    <row r="60" spans="1:16">
      <c r="A60" s="165" t="s">
        <v>7643</v>
      </c>
      <c r="B60" s="159" t="s">
        <v>7363</v>
      </c>
      <c r="C60" s="159" t="str">
        <f>C35</f>
        <v>能源</v>
      </c>
      <c r="D60" s="159" t="str">
        <f t="shared" ref="D60:L60" si="40">D35</f>
        <v>原材料</v>
      </c>
      <c r="E60" s="159" t="str">
        <f t="shared" si="40"/>
        <v>工业</v>
      </c>
      <c r="F60" s="159" t="str">
        <f t="shared" si="40"/>
        <v>可选消费</v>
      </c>
      <c r="G60" s="159" t="str">
        <f t="shared" si="40"/>
        <v>主要消费</v>
      </c>
      <c r="H60" s="159" t="str">
        <f t="shared" si="40"/>
        <v>医药卫生</v>
      </c>
      <c r="I60" s="159" t="str">
        <f t="shared" si="40"/>
        <v>金融地产</v>
      </c>
      <c r="J60" s="159" t="str">
        <f t="shared" si="40"/>
        <v>信息技术</v>
      </c>
      <c r="K60" s="159" t="str">
        <f t="shared" si="40"/>
        <v>电信业务</v>
      </c>
      <c r="L60" s="159" t="str">
        <f t="shared" si="40"/>
        <v>公用事业</v>
      </c>
      <c r="M60" s="159" t="s">
        <v>7642</v>
      </c>
      <c r="N60" s="159" t="s">
        <v>7361</v>
      </c>
      <c r="O60" s="159" t="s">
        <v>7362</v>
      </c>
      <c r="P60" s="159" t="s">
        <v>7644</v>
      </c>
    </row>
    <row r="61" spans="1:16">
      <c r="A61" s="149" t="str">
        <f>A36</f>
        <v>上证50</v>
      </c>
      <c r="B61" s="158">
        <f>B36</f>
        <v>8.6489648747794193E-3</v>
      </c>
      <c r="C61" s="58">
        <f>(1+$D$32)*C3</f>
        <v>8.5676190476190475E-2</v>
      </c>
      <c r="D61" s="58">
        <f>(1+$G$32)*D3</f>
        <v>0.12320462962962961</v>
      </c>
      <c r="E61" s="58">
        <f>(1+$J$32)*E3</f>
        <v>0.3077256637168142</v>
      </c>
      <c r="F61" s="58">
        <f>(1+$M$32)*F3</f>
        <v>0.14409615384615382</v>
      </c>
      <c r="G61" s="58">
        <f>(1+$P$32)*G3</f>
        <v>0.25693716475095785</v>
      </c>
      <c r="H61" s="58">
        <f>(1+$S$32)*H3</f>
        <v>0.10975238095238096</v>
      </c>
      <c r="I61" s="58">
        <f>(1+$V$32)*I3</f>
        <v>1.6650402684563756</v>
      </c>
      <c r="J61" s="58">
        <f>(1+$Y$32)*J3</f>
        <v>3.71702786377709E-2</v>
      </c>
      <c r="K61" s="58">
        <f>(1+$AB$32)*K3</f>
        <v>3.2387261146496815E-2</v>
      </c>
      <c r="L61" s="58">
        <f>(1+$AB$32)*L3</f>
        <v>0</v>
      </c>
      <c r="M61" s="60">
        <f>SUM(C61:L61)-1</f>
        <v>1.7619899916127704</v>
      </c>
      <c r="N61" s="159">
        <v>2706.15</v>
      </c>
      <c r="O61" s="61">
        <f>N61*(1+M61)</f>
        <v>7474.3592158028987</v>
      </c>
      <c r="P61" s="60">
        <f>B61*(1+M61)</f>
        <v>2.3888354421951155E-2</v>
      </c>
    </row>
    <row r="62" spans="1:16">
      <c r="A62" s="149" t="str">
        <f t="shared" ref="A62:B62" si="41">A37</f>
        <v>沪深300</v>
      </c>
      <c r="B62" s="158">
        <f t="shared" si="41"/>
        <v>5.8682752002597184E-2</v>
      </c>
      <c r="C62" s="58">
        <f t="shared" ref="C62:C73" si="42">(1+$D$32)*C4</f>
        <v>6.3315646258503402E-2</v>
      </c>
      <c r="D62" s="58">
        <f t="shared" ref="D62:D73" si="43">(1+$G$32)*D4</f>
        <v>0.17640092592592591</v>
      </c>
      <c r="E62" s="58">
        <f t="shared" ref="E62:E73" si="44">(1+$J$32)*E4</f>
        <v>0.3877699115044248</v>
      </c>
      <c r="F62" s="58">
        <f t="shared" ref="F62:F73" si="45">(1+$M$32)*F4</f>
        <v>0.32146874999999997</v>
      </c>
      <c r="G62" s="58">
        <f t="shared" ref="G62:G73" si="46">(1+$P$32)*G4</f>
        <v>0.23131954022988507</v>
      </c>
      <c r="H62" s="58">
        <f t="shared" ref="H62:H73" si="47">(1+$S$32)*H4</f>
        <v>0.19525714285714285</v>
      </c>
      <c r="I62" s="58">
        <f t="shared" ref="I62:I73" si="48">(1+$V$32)*I4</f>
        <v>1.0880134228187919</v>
      </c>
      <c r="J62" s="58">
        <f t="shared" ref="J62:J73" si="49">(1+$Y$32)*J4</f>
        <v>0.26827244582043347</v>
      </c>
      <c r="K62" s="58">
        <f t="shared" ref="K62:L62" si="50">(1+$AB$32)*K4</f>
        <v>1.4747770700636943E-2</v>
      </c>
      <c r="L62" s="58">
        <f t="shared" si="50"/>
        <v>8.8775796178343941E-2</v>
      </c>
      <c r="M62" s="60">
        <f t="shared" ref="M62:M73" si="51">SUM(C62:L62)-1</f>
        <v>1.8353413522940882</v>
      </c>
      <c r="N62" s="159">
        <v>3700.44</v>
      </c>
      <c r="O62" s="61">
        <f>N62*(1+M62)</f>
        <v>10492.010553683136</v>
      </c>
      <c r="P62" s="60">
        <f>B62*(1+M62)</f>
        <v>0.16638563341938251</v>
      </c>
    </row>
    <row r="63" spans="1:16">
      <c r="A63" s="150" t="str">
        <f t="shared" ref="A63:B63" si="52">A38</f>
        <v>中证500</v>
      </c>
      <c r="B63" s="158">
        <f t="shared" si="52"/>
        <v>0.2209974844188228</v>
      </c>
      <c r="C63" s="58">
        <f t="shared" si="42"/>
        <v>5.2253061224489798E-2</v>
      </c>
      <c r="D63" s="58">
        <f t="shared" si="43"/>
        <v>0.43058888888888885</v>
      </c>
      <c r="E63" s="58">
        <f t="shared" si="44"/>
        <v>0.59469911504424788</v>
      </c>
      <c r="F63" s="58">
        <f t="shared" si="45"/>
        <v>0.39992788461538459</v>
      </c>
      <c r="G63" s="58">
        <f t="shared" si="46"/>
        <v>0.21052107279693488</v>
      </c>
      <c r="H63" s="58">
        <f t="shared" si="47"/>
        <v>0.27438095238095239</v>
      </c>
      <c r="I63" s="58">
        <f t="shared" si="48"/>
        <v>0.26278523489932887</v>
      </c>
      <c r="J63" s="58">
        <f t="shared" si="49"/>
        <v>0.55658452012383897</v>
      </c>
      <c r="K63" s="58">
        <f t="shared" ref="K63:L63" si="53">(1+$AB$32)*K5</f>
        <v>9.8318471337579608E-3</v>
      </c>
      <c r="L63" s="58">
        <f t="shared" si="53"/>
        <v>9.2535031847133756E-2</v>
      </c>
      <c r="M63" s="60">
        <f t="shared" si="51"/>
        <v>1.8841076089549578</v>
      </c>
      <c r="N63" s="159">
        <v>5394.88</v>
      </c>
      <c r="O63" s="61">
        <f t="shared" ref="O63:O73" si="54">N63*(1+M63)</f>
        <v>15559.414457398923</v>
      </c>
      <c r="P63" s="60">
        <f>B63*(1+M63)</f>
        <v>0.63738052637223153</v>
      </c>
    </row>
    <row r="64" spans="1:16">
      <c r="A64" s="150" t="str">
        <f t="shared" ref="A64:B64" si="55">A39</f>
        <v>中证1000</v>
      </c>
      <c r="B64" s="158">
        <f t="shared" si="55"/>
        <v>4.5410093578134074E-2</v>
      </c>
      <c r="C64" s="58">
        <f t="shared" si="42"/>
        <v>5.6725170068027207E-2</v>
      </c>
      <c r="D64" s="58">
        <f t="shared" si="43"/>
        <v>0.41277314814814814</v>
      </c>
      <c r="E64" s="58">
        <f t="shared" si="44"/>
        <v>0.66199557522123897</v>
      </c>
      <c r="F64" s="58">
        <f t="shared" si="45"/>
        <v>0.40511778846153845</v>
      </c>
      <c r="G64" s="58">
        <f t="shared" si="46"/>
        <v>0.16664137931034481</v>
      </c>
      <c r="H64" s="58">
        <f t="shared" si="47"/>
        <v>0.3126666666666667</v>
      </c>
      <c r="I64" s="58">
        <f t="shared" si="48"/>
        <v>0.11804697986577181</v>
      </c>
      <c r="J64" s="58">
        <f t="shared" si="49"/>
        <v>0.71981052631578946</v>
      </c>
      <c r="K64" s="58">
        <f t="shared" ref="K64:L64" si="56">(1+$AB$32)*K6</f>
        <v>3.180891719745223E-3</v>
      </c>
      <c r="L64" s="58">
        <f t="shared" si="56"/>
        <v>7.2871337579617834E-2</v>
      </c>
      <c r="M64" s="60">
        <f t="shared" si="51"/>
        <v>1.9298294633568882</v>
      </c>
      <c r="N64" s="159">
        <v>5788.36</v>
      </c>
      <c r="O64" s="61">
        <f t="shared" si="54"/>
        <v>16958.907672516478</v>
      </c>
      <c r="P64" s="60">
        <f>B64*(1+M64)</f>
        <v>0.13304383009901063</v>
      </c>
    </row>
    <row r="65" spans="1:16">
      <c r="A65" s="150" t="str">
        <f t="shared" ref="A65:B65" si="57">A40</f>
        <v>创业板</v>
      </c>
      <c r="B65" s="158">
        <f t="shared" si="57"/>
        <v>2.683892186227364E-2</v>
      </c>
      <c r="C65" s="58">
        <f t="shared" si="42"/>
        <v>0</v>
      </c>
      <c r="D65" s="58">
        <f t="shared" si="43"/>
        <v>8.932962962962962E-2</v>
      </c>
      <c r="E65" s="58">
        <f t="shared" si="44"/>
        <v>0.58254424778761071</v>
      </c>
      <c r="F65" s="58">
        <f t="shared" si="45"/>
        <v>0.20454326923076921</v>
      </c>
      <c r="G65" s="58">
        <f t="shared" si="46"/>
        <v>0.34038467432950198</v>
      </c>
      <c r="H65" s="58">
        <f t="shared" si="47"/>
        <v>0.538552380952381</v>
      </c>
      <c r="I65" s="58">
        <f t="shared" si="48"/>
        <v>0.15216778523489932</v>
      </c>
      <c r="J65" s="58">
        <f t="shared" si="49"/>
        <v>1.1073510835913314</v>
      </c>
      <c r="K65" s="58">
        <f t="shared" ref="K65:L65" si="58">(1+$AB$32)*K7</f>
        <v>0</v>
      </c>
      <c r="L65" s="58">
        <f t="shared" si="58"/>
        <v>0</v>
      </c>
      <c r="M65" s="60">
        <f t="shared" si="51"/>
        <v>2.0148730707561233</v>
      </c>
      <c r="N65" s="159">
        <v>1630.19</v>
      </c>
      <c r="O65" s="61">
        <f t="shared" si="54"/>
        <v>4914.815931215925</v>
      </c>
      <c r="P65" s="60">
        <f>B65*(1+M65)</f>
        <v>8.0915942770696581E-2</v>
      </c>
    </row>
    <row r="66" spans="1:16">
      <c r="A66" s="151" t="str">
        <f t="shared" ref="A66:B66" si="59">A41</f>
        <v>中证红利</v>
      </c>
      <c r="B66" s="158">
        <f t="shared" si="59"/>
        <v>8.6911248151905096E-2</v>
      </c>
      <c r="C66" s="58">
        <f t="shared" si="42"/>
        <v>0.11345034013605441</v>
      </c>
      <c r="D66" s="58">
        <f t="shared" si="43"/>
        <v>0.25619537037037032</v>
      </c>
      <c r="E66" s="58">
        <f t="shared" si="44"/>
        <v>0.58995575221238949</v>
      </c>
      <c r="F66" s="58">
        <f t="shared" si="45"/>
        <v>0.56539423076923068</v>
      </c>
      <c r="G66" s="58">
        <f t="shared" si="46"/>
        <v>0.16638773946360155</v>
      </c>
      <c r="H66" s="58">
        <f t="shared" si="47"/>
        <v>9.7628571428571426E-2</v>
      </c>
      <c r="I66" s="58">
        <f t="shared" si="48"/>
        <v>0.72561744966442943</v>
      </c>
      <c r="J66" s="58">
        <f t="shared" si="49"/>
        <v>9.5026625386996896E-2</v>
      </c>
      <c r="K66" s="58">
        <f t="shared" ref="K66:L66" si="60">(1+$AB$32)*K8</f>
        <v>0</v>
      </c>
      <c r="L66" s="58">
        <f t="shared" si="60"/>
        <v>0.22063821656050955</v>
      </c>
      <c r="M66" s="60">
        <f t="shared" si="51"/>
        <v>1.8302942959921538</v>
      </c>
      <c r="N66" s="159">
        <v>4592.3500000000004</v>
      </c>
      <c r="O66" s="61">
        <f t="shared" si="54"/>
        <v>12997.702010199568</v>
      </c>
      <c r="P66" s="60">
        <f>B66*(1+M66)</f>
        <v>0.2459844099018956</v>
      </c>
    </row>
    <row r="67" spans="1:16">
      <c r="A67" s="152" t="str">
        <f t="shared" ref="A67:B67" si="61">A42</f>
        <v>养老产业</v>
      </c>
      <c r="B67" s="158">
        <f t="shared" si="61"/>
        <v>7.5001875332379106E-2</v>
      </c>
      <c r="C67" s="58">
        <f t="shared" si="42"/>
        <v>0</v>
      </c>
      <c r="D67" s="58">
        <f t="shared" si="43"/>
        <v>0</v>
      </c>
      <c r="E67" s="58">
        <f t="shared" si="44"/>
        <v>0</v>
      </c>
      <c r="F67" s="58">
        <f t="shared" si="45"/>
        <v>0.90029567307692293</v>
      </c>
      <c r="G67" s="58">
        <f t="shared" si="46"/>
        <v>0.3550957854406131</v>
      </c>
      <c r="H67" s="58">
        <f t="shared" si="47"/>
        <v>1.0452000000000001</v>
      </c>
      <c r="I67" s="58">
        <f t="shared" si="48"/>
        <v>0.28617449664429528</v>
      </c>
      <c r="J67" s="58">
        <f t="shared" si="49"/>
        <v>0.4318216718266254</v>
      </c>
      <c r="K67" s="58">
        <f t="shared" ref="K67:L67" si="62">(1+$AB$32)*K9</f>
        <v>0</v>
      </c>
      <c r="L67" s="58">
        <f t="shared" si="62"/>
        <v>0</v>
      </c>
      <c r="M67" s="60">
        <f t="shared" si="51"/>
        <v>2.0185876269884568</v>
      </c>
      <c r="N67" s="159">
        <v>7539.8</v>
      </c>
      <c r="O67" s="61">
        <f t="shared" si="54"/>
        <v>22759.546989967566</v>
      </c>
      <c r="P67" s="60">
        <f>B67*(1+M67)</f>
        <v>0.22639973287925033</v>
      </c>
    </row>
    <row r="68" spans="1:16">
      <c r="A68" s="152" t="str">
        <f t="shared" ref="A68:B68" si="63">A43</f>
        <v>全指医药</v>
      </c>
      <c r="B68" s="158">
        <f t="shared" si="63"/>
        <v>6.0711859906494199E-2</v>
      </c>
      <c r="C68" s="58">
        <f t="shared" si="42"/>
        <v>0</v>
      </c>
      <c r="D68" s="58">
        <f t="shared" si="43"/>
        <v>3.2620370370370368E-3</v>
      </c>
      <c r="E68" s="58">
        <f t="shared" si="44"/>
        <v>2.9646017699115051E-3</v>
      </c>
      <c r="F68" s="58">
        <f t="shared" si="45"/>
        <v>1.7096153846153844E-2</v>
      </c>
      <c r="G68" s="58">
        <f t="shared" si="46"/>
        <v>0.20468735632183907</v>
      </c>
      <c r="H68" s="58">
        <f t="shared" si="47"/>
        <v>2.8583476190476191</v>
      </c>
      <c r="I68" s="58">
        <f t="shared" si="48"/>
        <v>0</v>
      </c>
      <c r="J68" s="58">
        <f t="shared" si="49"/>
        <v>4.9775851393188859E-2</v>
      </c>
      <c r="K68" s="58">
        <f t="shared" ref="K68:L68" si="64">(1+$AB$32)*K10</f>
        <v>0</v>
      </c>
      <c r="L68" s="58">
        <f t="shared" si="64"/>
        <v>0</v>
      </c>
      <c r="M68" s="60">
        <f t="shared" si="51"/>
        <v>2.1361336194157494</v>
      </c>
      <c r="N68" s="159">
        <v>9258.2999999999993</v>
      </c>
      <c r="O68" s="61">
        <f t="shared" si="54"/>
        <v>29035.26588863683</v>
      </c>
      <c r="P68" s="60">
        <f>B68*(1+M68)</f>
        <v>0.19040050495001556</v>
      </c>
    </row>
    <row r="69" spans="1:16">
      <c r="A69" s="152" t="str">
        <f t="shared" ref="A69:B69" si="65">A44</f>
        <v>中证传媒</v>
      </c>
      <c r="B69" s="158">
        <f t="shared" si="65"/>
        <v>3.6306181085139826E-2</v>
      </c>
      <c r="C69" s="58">
        <f t="shared" si="42"/>
        <v>0</v>
      </c>
      <c r="D69" s="58">
        <f t="shared" si="43"/>
        <v>0</v>
      </c>
      <c r="E69" s="58">
        <f t="shared" si="44"/>
        <v>0</v>
      </c>
      <c r="F69" s="58">
        <f t="shared" si="45"/>
        <v>1.4852283653846152</v>
      </c>
      <c r="G69" s="58">
        <f t="shared" si="46"/>
        <v>0</v>
      </c>
      <c r="H69" s="58">
        <f t="shared" si="47"/>
        <v>0</v>
      </c>
      <c r="I69" s="58">
        <f t="shared" si="48"/>
        <v>0.27324161073825504</v>
      </c>
      <c r="J69" s="58">
        <f t="shared" si="49"/>
        <v>1.3387764705882352</v>
      </c>
      <c r="K69" s="58">
        <f t="shared" ref="K69:L69" si="66">(1+$AB$32)*K11</f>
        <v>0</v>
      </c>
      <c r="L69" s="58">
        <f t="shared" si="66"/>
        <v>0</v>
      </c>
      <c r="M69" s="60">
        <f t="shared" si="51"/>
        <v>2.0972464467111056</v>
      </c>
      <c r="N69" s="159">
        <v>1454.12</v>
      </c>
      <c r="O69" s="61">
        <f t="shared" si="54"/>
        <v>4503.7680030915526</v>
      </c>
      <c r="P69" s="60">
        <f>B69*(1+M69)</f>
        <v>0.11244919035959927</v>
      </c>
    </row>
    <row r="70" spans="1:16">
      <c r="A70" s="152" t="str">
        <f t="shared" ref="A70:B70" si="67">A45</f>
        <v>中证环保</v>
      </c>
      <c r="B70" s="158">
        <f t="shared" si="67"/>
        <v>5.4230713511398659E-2</v>
      </c>
      <c r="C70" s="58">
        <f t="shared" si="42"/>
        <v>0</v>
      </c>
      <c r="D70" s="58">
        <f t="shared" si="43"/>
        <v>0.22031296296296296</v>
      </c>
      <c r="E70" s="58">
        <f t="shared" si="44"/>
        <v>1.4645132743362834</v>
      </c>
      <c r="F70" s="58">
        <f t="shared" si="45"/>
        <v>0.15722355769230767</v>
      </c>
      <c r="G70" s="58">
        <f t="shared" si="46"/>
        <v>0</v>
      </c>
      <c r="H70" s="58">
        <f t="shared" si="47"/>
        <v>0</v>
      </c>
      <c r="I70" s="58">
        <f t="shared" si="48"/>
        <v>0</v>
      </c>
      <c r="J70" s="58">
        <f t="shared" si="49"/>
        <v>0.6441770897832817</v>
      </c>
      <c r="K70" s="58">
        <f t="shared" ref="K70:L70" si="68">(1+$AB$32)*K12</f>
        <v>0</v>
      </c>
      <c r="L70" s="58">
        <f t="shared" si="68"/>
        <v>0.48378471337579615</v>
      </c>
      <c r="M70" s="60">
        <f t="shared" si="51"/>
        <v>1.9700115981506321</v>
      </c>
      <c r="N70" s="159">
        <v>1328.9</v>
      </c>
      <c r="O70" s="61">
        <f t="shared" si="54"/>
        <v>3946.8484127823754</v>
      </c>
      <c r="P70" s="60">
        <f>B70*(1+M70)</f>
        <v>0.16106584810483821</v>
      </c>
    </row>
    <row r="71" spans="1:16">
      <c r="A71" s="152" t="str">
        <f t="shared" ref="A71:B71" si="69">A46</f>
        <v>全指消费</v>
      </c>
      <c r="B71" s="158">
        <f t="shared" si="69"/>
        <v>1.036221639728804E-2</v>
      </c>
      <c r="C71" s="58">
        <f t="shared" si="42"/>
        <v>0</v>
      </c>
      <c r="D71" s="58">
        <f t="shared" si="43"/>
        <v>1.8568518518518519E-2</v>
      </c>
      <c r="E71" s="58">
        <f t="shared" si="44"/>
        <v>0</v>
      </c>
      <c r="F71" s="58">
        <f t="shared" si="45"/>
        <v>2.442307692307692E-3</v>
      </c>
      <c r="G71" s="58">
        <f t="shared" si="46"/>
        <v>2.5123026819923373</v>
      </c>
      <c r="H71" s="58">
        <f t="shared" si="47"/>
        <v>4.1476190476190476E-3</v>
      </c>
      <c r="I71" s="58">
        <f t="shared" si="48"/>
        <v>0</v>
      </c>
      <c r="J71" s="58">
        <f t="shared" si="49"/>
        <v>0</v>
      </c>
      <c r="K71" s="58">
        <f t="shared" ref="K71:L71" si="70">(1+$AB$32)*K13</f>
        <v>0</v>
      </c>
      <c r="L71" s="58">
        <f t="shared" si="70"/>
        <v>0</v>
      </c>
      <c r="M71" s="60">
        <f t="shared" si="51"/>
        <v>1.5374611272507828</v>
      </c>
      <c r="N71" s="159">
        <v>11910.51</v>
      </c>
      <c r="O71" s="61">
        <f t="shared" si="54"/>
        <v>30222.45613073172</v>
      </c>
      <c r="P71" s="60">
        <f>B71*(1+M71)</f>
        <v>2.6293721300279054E-2</v>
      </c>
    </row>
    <row r="72" spans="1:16">
      <c r="A72" s="152" t="str">
        <f t="shared" ref="A72:B72" si="71">A47</f>
        <v>金融地产</v>
      </c>
      <c r="B72" s="158">
        <f t="shared" si="71"/>
        <v>2.6395313328965119E-2</v>
      </c>
      <c r="C72" s="58">
        <f t="shared" si="42"/>
        <v>0</v>
      </c>
      <c r="D72" s="58">
        <f t="shared" si="43"/>
        <v>0</v>
      </c>
      <c r="E72" s="58">
        <f t="shared" si="44"/>
        <v>0</v>
      </c>
      <c r="F72" s="58">
        <f t="shared" si="45"/>
        <v>2.3507211538461536E-2</v>
      </c>
      <c r="G72" s="58">
        <f t="shared" si="46"/>
        <v>0</v>
      </c>
      <c r="H72" s="58">
        <f t="shared" si="47"/>
        <v>2.2333333333333333E-3</v>
      </c>
      <c r="I72" s="58">
        <f t="shared" si="48"/>
        <v>2.7260872483221474</v>
      </c>
      <c r="J72" s="58">
        <f t="shared" si="49"/>
        <v>2.5857585139318889E-3</v>
      </c>
      <c r="K72" s="58">
        <f t="shared" ref="K72:L72" si="72">(1+$AB$32)*K14</f>
        <v>0</v>
      </c>
      <c r="L72" s="58">
        <f t="shared" si="72"/>
        <v>0</v>
      </c>
      <c r="M72" s="60">
        <f t="shared" si="51"/>
        <v>1.7544135517078741</v>
      </c>
      <c r="N72" s="159">
        <v>5871.18</v>
      </c>
      <c r="O72" s="61">
        <f t="shared" si="54"/>
        <v>16171.657756516237</v>
      </c>
      <c r="P72" s="60">
        <f>B72*(1+M72)</f>
        <v>7.2703608734876995E-2</v>
      </c>
    </row>
    <row r="73" spans="1:16">
      <c r="A73" s="152" t="str">
        <f t="shared" ref="A73:B73" si="73">A48</f>
        <v>证券公司</v>
      </c>
      <c r="B73" s="158">
        <f t="shared" si="73"/>
        <v>4.0020971424133356E-2</v>
      </c>
      <c r="C73" s="58">
        <f t="shared" si="42"/>
        <v>0</v>
      </c>
      <c r="D73" s="58">
        <f t="shared" si="43"/>
        <v>0</v>
      </c>
      <c r="E73" s="58">
        <f t="shared" si="44"/>
        <v>0</v>
      </c>
      <c r="F73" s="58">
        <f t="shared" si="45"/>
        <v>0</v>
      </c>
      <c r="G73" s="58">
        <f t="shared" si="46"/>
        <v>0</v>
      </c>
      <c r="H73" s="58">
        <f t="shared" si="47"/>
        <v>0</v>
      </c>
      <c r="I73" s="58">
        <f t="shared" si="48"/>
        <v>2.7516778523489931</v>
      </c>
      <c r="J73" s="58">
        <f t="shared" si="49"/>
        <v>0</v>
      </c>
      <c r="K73" s="58">
        <f t="shared" ref="K73:L73" si="74">(1+$AB$32)*K15</f>
        <v>0</v>
      </c>
      <c r="L73" s="58">
        <f t="shared" si="74"/>
        <v>0</v>
      </c>
      <c r="M73" s="60">
        <f t="shared" si="51"/>
        <v>1.7516778523489931</v>
      </c>
      <c r="N73" s="159">
        <v>755.01</v>
      </c>
      <c r="O73" s="61">
        <f t="shared" si="54"/>
        <v>2077.5442953020133</v>
      </c>
      <c r="P73" s="60">
        <f>B73*(1+M73)</f>
        <v>0.11012482069727969</v>
      </c>
    </row>
    <row r="74" spans="1:16">
      <c r="A74" s="153" t="str">
        <f t="shared" ref="A74:B74" si="75">A49</f>
        <v>恒生</v>
      </c>
      <c r="B74" s="158">
        <f t="shared" si="75"/>
        <v>7.7631551004905368E-3</v>
      </c>
      <c r="L74" s="159"/>
      <c r="M74" s="159"/>
      <c r="N74" s="159">
        <v>28566.91</v>
      </c>
      <c r="O74" s="159"/>
      <c r="P74" s="162">
        <f>B74</f>
        <v>7.7631551004905368E-3</v>
      </c>
    </row>
    <row r="75" spans="1:16">
      <c r="A75" s="153" t="str">
        <f t="shared" ref="A75:B75" si="76">A50</f>
        <v>海外互联网</v>
      </c>
      <c r="B75" s="158">
        <f t="shared" si="76"/>
        <v>1.5638789770585863E-2</v>
      </c>
      <c r="L75" s="159"/>
      <c r="M75" s="159"/>
      <c r="N75" s="159">
        <v>11419.48</v>
      </c>
      <c r="O75" s="159"/>
      <c r="P75" s="162">
        <f>B75</f>
        <v>1.5638789770585863E-2</v>
      </c>
    </row>
    <row r="76" spans="1:16">
      <c r="A76" s="153" t="str">
        <f t="shared" ref="A76:B76" si="77">A51</f>
        <v>德国30</v>
      </c>
      <c r="B76" s="158">
        <f t="shared" si="77"/>
        <v>1.8137506510313109E-2</v>
      </c>
      <c r="L76" s="159"/>
      <c r="M76" s="159"/>
      <c r="N76" s="163"/>
      <c r="O76" s="159"/>
      <c r="P76" s="162">
        <f>B76</f>
        <v>1.8137506510313109E-2</v>
      </c>
    </row>
    <row r="77" spans="1:16">
      <c r="A77" s="155" t="str">
        <f t="shared" ref="A77:B77" si="78">A52</f>
        <v>原油</v>
      </c>
      <c r="B77" s="158">
        <f t="shared" si="78"/>
        <v>1.5141161975205843E-2</v>
      </c>
      <c r="L77" s="159"/>
      <c r="M77" s="159"/>
      <c r="N77" s="159"/>
      <c r="O77" s="159"/>
      <c r="P77" s="162">
        <f>B77</f>
        <v>1.5141161975205843E-2</v>
      </c>
    </row>
    <row r="78" spans="1:16">
      <c r="A78" s="155" t="str">
        <f t="shared" ref="A78:B78" si="79">A53</f>
        <v>黄金</v>
      </c>
      <c r="B78" s="158">
        <f t="shared" si="79"/>
        <v>7.8430016373384846E-3</v>
      </c>
      <c r="L78" s="159"/>
      <c r="M78" s="159"/>
      <c r="N78" s="159"/>
      <c r="O78" s="159"/>
      <c r="P78" s="162">
        <f>B78</f>
        <v>7.8430016373384846E-3</v>
      </c>
    </row>
    <row r="79" spans="1:16">
      <c r="A79" s="154" t="str">
        <f t="shared" ref="A79:B79" si="80">A54</f>
        <v>可转债</v>
      </c>
      <c r="B79" s="158">
        <f t="shared" si="80"/>
        <v>5.8237343980737918E-2</v>
      </c>
      <c r="L79" s="159"/>
      <c r="M79" s="159"/>
      <c r="N79" s="159"/>
      <c r="O79" s="159"/>
      <c r="P79" s="162">
        <f>B79</f>
        <v>5.8237343980737918E-2</v>
      </c>
    </row>
    <row r="80" spans="1:16">
      <c r="A80" s="156" t="str">
        <f t="shared" ref="A80:B80" si="81">A55</f>
        <v>美元债</v>
      </c>
      <c r="B80" s="158">
        <f t="shared" si="81"/>
        <v>8.0432293441582894E-3</v>
      </c>
      <c r="L80" s="159"/>
      <c r="M80" s="159"/>
      <c r="N80" s="159"/>
      <c r="O80" s="159"/>
      <c r="P80" s="162">
        <f>B80</f>
        <v>8.0432293441582894E-3</v>
      </c>
    </row>
    <row r="81" spans="1:16">
      <c r="A81" s="156" t="str">
        <f t="shared" ref="A81:B81" si="82">A56</f>
        <v>货币基金</v>
      </c>
      <c r="B81" s="158">
        <f t="shared" si="82"/>
        <v>0.11867721580685973</v>
      </c>
      <c r="L81" s="159"/>
      <c r="M81" s="159"/>
      <c r="N81" s="159"/>
      <c r="O81" s="159"/>
      <c r="P81" s="162">
        <f>B81</f>
        <v>0.11867721580685973</v>
      </c>
    </row>
    <row r="82" spans="1:16">
      <c r="B82" s="158">
        <f>SUM(B61:B81)</f>
        <v>1.0000000000000002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67">
        <f>SUM(P61:P81)</f>
        <v>2.4365175281369966</v>
      </c>
    </row>
    <row r="83" spans="1:16">
      <c r="P83" s="159" t="s">
        <v>7645</v>
      </c>
    </row>
    <row r="84" spans="1:16">
      <c r="P84" s="167">
        <f>P82*0.7</f>
        <v>1.7055622696958976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72" sqref="K72"/>
    </sheetView>
  </sheetViews>
  <sheetFormatPr defaultColWidth="8.875" defaultRowHeight="14.25"/>
  <cols>
    <col min="1" max="1" width="10.625" style="136" bestFit="1" customWidth="1"/>
    <col min="2" max="2" width="8.625" style="136" bestFit="1" customWidth="1"/>
    <col min="3" max="3" width="8.375" style="136" bestFit="1" customWidth="1"/>
    <col min="4" max="5" width="8.875" style="136" bestFit="1" customWidth="1"/>
    <col min="6" max="6" width="11.625" style="136" customWidth="1"/>
    <col min="7" max="8" width="11.625" style="136" bestFit="1" customWidth="1"/>
    <col min="9" max="9" width="12.625" style="136" bestFit="1" customWidth="1"/>
    <col min="10" max="13" width="8.5" style="136" customWidth="1"/>
    <col min="14" max="14" width="11.625" style="136" bestFit="1" customWidth="1"/>
    <col min="15" max="15" width="37.125" style="136" bestFit="1" customWidth="1"/>
    <col min="16" max="16" width="11.625" style="136" bestFit="1" customWidth="1"/>
    <col min="17" max="17" width="12.625" style="136" bestFit="1" customWidth="1"/>
    <col min="18" max="18" width="8.875" style="136"/>
    <col min="19" max="21" width="11.625" style="136" bestFit="1" customWidth="1"/>
    <col min="22" max="22" width="12.625" style="136" bestFit="1" customWidth="1"/>
    <col min="23" max="16384" width="8.875" style="136"/>
  </cols>
  <sheetData>
    <row r="1" spans="1:23">
      <c r="B1" s="136" t="s">
        <v>7597</v>
      </c>
      <c r="C1" s="136" t="s">
        <v>7598</v>
      </c>
      <c r="D1" s="136" t="s">
        <v>215</v>
      </c>
      <c r="E1" s="136" t="s">
        <v>216</v>
      </c>
      <c r="F1" s="136" t="s">
        <v>7352</v>
      </c>
      <c r="G1" s="136" t="s">
        <v>7349</v>
      </c>
      <c r="H1" s="136" t="s">
        <v>7350</v>
      </c>
      <c r="I1" s="136" t="s">
        <v>7351</v>
      </c>
      <c r="K1" s="136" t="s">
        <v>7354</v>
      </c>
      <c r="L1" s="136" t="s">
        <v>7619</v>
      </c>
      <c r="M1" s="136" t="s">
        <v>7620</v>
      </c>
    </row>
    <row r="2" spans="1:23">
      <c r="A2" s="149" t="s">
        <v>7505</v>
      </c>
      <c r="B2" s="135">
        <f>交易明细!Z14</f>
        <v>8.0543625000000004E-3</v>
      </c>
      <c r="C2" s="60">
        <f>交易明细!W14</f>
        <v>0.12470000000000001</v>
      </c>
      <c r="D2" s="61">
        <f>交易明细!X14</f>
        <v>8.5398201438848922</v>
      </c>
      <c r="E2" s="136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6">
        <v>0.75</v>
      </c>
      <c r="L2" s="135">
        <v>3.5000000000000003E-2</v>
      </c>
      <c r="M2" s="136" t="s">
        <v>7621</v>
      </c>
      <c r="P2" s="60"/>
      <c r="Q2" s="60"/>
      <c r="R2" s="61"/>
      <c r="S2" s="61"/>
      <c r="T2" s="60"/>
      <c r="U2" s="60"/>
      <c r="V2" s="60"/>
      <c r="W2" s="60"/>
    </row>
    <row r="3" spans="1:23">
      <c r="A3" s="149" t="s">
        <v>7506</v>
      </c>
      <c r="B3" s="135">
        <f>交易明细!Z15</f>
        <v>5.5856999999999997E-2</v>
      </c>
      <c r="C3" s="60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6" t="s">
        <v>7599</v>
      </c>
      <c r="L3" s="136" t="s">
        <v>7609</v>
      </c>
      <c r="M3" s="136" t="s">
        <v>7622</v>
      </c>
      <c r="P3" s="60"/>
      <c r="Q3" s="60"/>
      <c r="R3" s="61"/>
      <c r="S3" s="61"/>
      <c r="T3" s="60"/>
      <c r="U3" s="60"/>
      <c r="V3" s="60"/>
      <c r="W3" s="60"/>
    </row>
    <row r="4" spans="1:23">
      <c r="A4" s="150" t="s">
        <v>7508</v>
      </c>
      <c r="B4" s="135">
        <f>交易明细!Z16</f>
        <v>0.22490663750000001</v>
      </c>
      <c r="C4" s="60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5">
        <v>6.5000000000000002E-2</v>
      </c>
      <c r="M4" s="136" t="s">
        <v>7623</v>
      </c>
      <c r="P4" s="60"/>
      <c r="Q4" s="60"/>
      <c r="R4" s="61"/>
      <c r="S4" s="61"/>
      <c r="T4" s="60"/>
      <c r="U4" s="60"/>
      <c r="V4" s="60"/>
      <c r="W4" s="60"/>
    </row>
    <row r="5" spans="1:23">
      <c r="A5" s="150" t="s">
        <v>7509</v>
      </c>
      <c r="B5" s="135">
        <f>交易明细!Z17</f>
        <v>4.9623162499999998E-2</v>
      </c>
      <c r="C5" s="60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6" t="s">
        <v>7600</v>
      </c>
      <c r="L5" s="136" t="s">
        <v>7610</v>
      </c>
      <c r="P5" s="60"/>
      <c r="Q5" s="60"/>
      <c r="R5" s="61"/>
      <c r="S5" s="61"/>
      <c r="T5" s="60"/>
      <c r="U5" s="60"/>
      <c r="V5" s="60"/>
      <c r="W5" s="60"/>
    </row>
    <row r="6" spans="1:23">
      <c r="A6" s="150" t="s">
        <v>40</v>
      </c>
      <c r="B6" s="135">
        <f>交易明细!Z18</f>
        <v>2.4085612499999999E-2</v>
      </c>
      <c r="C6" s="60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5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51" t="s">
        <v>7511</v>
      </c>
      <c r="B7" s="135">
        <f>交易明细!Z13</f>
        <v>8.2900000000000001E-2</v>
      </c>
      <c r="C7" s="60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6" t="s">
        <v>7601</v>
      </c>
      <c r="L7" s="136" t="s">
        <v>7611</v>
      </c>
      <c r="P7" s="60"/>
      <c r="Q7" s="60"/>
      <c r="R7" s="61"/>
      <c r="S7" s="61"/>
      <c r="T7" s="60"/>
      <c r="U7" s="60"/>
      <c r="V7" s="60"/>
      <c r="W7" s="60"/>
    </row>
    <row r="8" spans="1:23">
      <c r="A8" s="152" t="s">
        <v>7513</v>
      </c>
      <c r="B8" s="135">
        <f>交易明细!Z21</f>
        <v>7.2749999999999995E-2</v>
      </c>
      <c r="C8" s="60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5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52" t="s">
        <v>7514</v>
      </c>
      <c r="B9" s="135">
        <f>交易明细!Z19</f>
        <v>6.1076224999999998E-2</v>
      </c>
      <c r="C9" s="60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6" t="s">
        <v>7602</v>
      </c>
      <c r="P9" s="60"/>
      <c r="Q9" s="60"/>
      <c r="R9" s="61"/>
      <c r="S9" s="61"/>
      <c r="T9" s="60"/>
      <c r="U9" s="60"/>
      <c r="V9" s="60"/>
      <c r="W9" s="60"/>
    </row>
    <row r="10" spans="1:23">
      <c r="A10" s="152" t="s">
        <v>7515</v>
      </c>
      <c r="B10" s="135">
        <f>交易明细!Z25</f>
        <v>3.70254125E-2</v>
      </c>
      <c r="C10" s="60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52" t="s">
        <v>7516</v>
      </c>
      <c r="B11" s="135">
        <f>交易明细!Z23</f>
        <v>6.0069037499999992E-2</v>
      </c>
      <c r="C11" s="60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52" t="s">
        <v>7517</v>
      </c>
      <c r="B12" s="135">
        <f>交易明细!Z34</f>
        <v>8.0000000000000002E-3</v>
      </c>
      <c r="C12" s="60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52" t="s">
        <v>7518</v>
      </c>
      <c r="B13" s="135">
        <f>交易明细!Z37</f>
        <v>1.6E-2</v>
      </c>
      <c r="C13" s="60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52" t="s">
        <v>7519</v>
      </c>
      <c r="B14" s="135">
        <f>交易明细!Z22</f>
        <v>3.1965149999999998E-2</v>
      </c>
      <c r="C14" s="60">
        <v>4.9099999999999998E-2</v>
      </c>
      <c r="D14" s="61">
        <f>交易明细!Y22</f>
        <v>1.3802694951084966</v>
      </c>
      <c r="E14" s="136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53" t="s">
        <v>7522</v>
      </c>
      <c r="B15" s="135">
        <f>交易明细!Z39</f>
        <v>8.0000000000000002E-3</v>
      </c>
      <c r="C15" s="60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53" t="s">
        <v>7381</v>
      </c>
      <c r="B16" s="135">
        <f>交易明细!Z40</f>
        <v>1.6E-2</v>
      </c>
      <c r="C16" s="60"/>
      <c r="F16" s="60"/>
      <c r="G16" s="60"/>
      <c r="H16" s="60"/>
      <c r="I16" s="60"/>
      <c r="P16" s="135"/>
      <c r="Q16" s="135"/>
    </row>
    <row r="17" spans="1:13">
      <c r="A17" s="153" t="s">
        <v>119</v>
      </c>
      <c r="B17" s="135">
        <f>交易明细!Z38</f>
        <v>2.0250000000000001E-2</v>
      </c>
      <c r="C17" s="60">
        <f>交易明细!U38 / 交易明细!S38</f>
        <v>0.10676901605024425</v>
      </c>
      <c r="D17" s="61">
        <f>交易明细!X38</f>
        <v>14.84192716970702</v>
      </c>
      <c r="E17" s="136">
        <v>24.7</v>
      </c>
      <c r="F17" s="60">
        <f>$E17*$K$4/$D17-1</f>
        <v>-0.5007386901126889</v>
      </c>
      <c r="G17" s="60">
        <f>$E17*$K$6/$D17-1</f>
        <v>-0.16789781685448135</v>
      </c>
      <c r="H17" s="60">
        <f>$E17*$K$8/$D17-1</f>
        <v>0.16494305640372597</v>
      </c>
      <c r="I17" s="60">
        <f>$E17*$K$10/$D17-1</f>
        <v>0.6642043662910373</v>
      </c>
    </row>
    <row r="18" spans="1:13">
      <c r="A18" s="155" t="s">
        <v>7386</v>
      </c>
      <c r="B18" s="135">
        <f>交易明细!Z46</f>
        <v>1.6E-2</v>
      </c>
      <c r="C18" s="157"/>
      <c r="F18" s="60"/>
      <c r="G18" s="60"/>
      <c r="H18" s="60"/>
      <c r="I18" s="60"/>
    </row>
    <row r="19" spans="1:13">
      <c r="A19" s="154" t="s">
        <v>7530</v>
      </c>
      <c r="B19" s="135">
        <f>交易明细!Z43</f>
        <v>5.6000000000000001E-2</v>
      </c>
      <c r="C19" s="157"/>
      <c r="F19" s="60"/>
      <c r="G19" s="60"/>
      <c r="H19" s="60"/>
      <c r="I19" s="60"/>
    </row>
    <row r="20" spans="1:13">
      <c r="A20" s="156" t="s">
        <v>7532</v>
      </c>
      <c r="B20" s="135">
        <f>交易明细!Z42</f>
        <v>6.4313999999999994E-3</v>
      </c>
      <c r="C20" s="157"/>
      <c r="F20" s="60"/>
      <c r="G20" s="60"/>
      <c r="H20" s="60"/>
      <c r="I20" s="60"/>
    </row>
    <row r="21" spans="1:13">
      <c r="A21" s="156" t="s">
        <v>7535</v>
      </c>
      <c r="B21" s="135">
        <f>1-SUM(B2:B20)</f>
        <v>0.14500599999999986</v>
      </c>
      <c r="C21" s="157"/>
      <c r="F21" s="60"/>
      <c r="G21" s="60"/>
      <c r="H21" s="60"/>
      <c r="I21" s="60"/>
    </row>
    <row r="22" spans="1:13" s="144" customFormat="1">
      <c r="B22" s="143"/>
      <c r="F22" s="60"/>
      <c r="G22" s="60"/>
      <c r="H22" s="60"/>
      <c r="I22" s="60"/>
    </row>
    <row r="23" spans="1:13" s="144" customFormat="1">
      <c r="B23" s="143"/>
      <c r="F23" s="60"/>
      <c r="G23" s="60"/>
      <c r="H23" s="60"/>
      <c r="I23" s="60"/>
    </row>
    <row r="24" spans="1:13" s="144" customFormat="1">
      <c r="B24" s="144" t="s">
        <v>7628</v>
      </c>
      <c r="C24" s="143" t="s">
        <v>7626</v>
      </c>
      <c r="D24" s="144" t="s">
        <v>7629</v>
      </c>
      <c r="E24" s="144" t="s">
        <v>7627</v>
      </c>
      <c r="F24" s="144" t="s">
        <v>7630</v>
      </c>
      <c r="G24" s="60" t="s">
        <v>7631</v>
      </c>
      <c r="H24" s="60" t="s">
        <v>7632</v>
      </c>
      <c r="I24" s="60" t="s">
        <v>7633</v>
      </c>
    </row>
    <row r="25" spans="1:13" s="144" customFormat="1">
      <c r="A25" s="144" t="s">
        <v>7634</v>
      </c>
      <c r="B25" s="143">
        <f>SUM(B2:B3)</f>
        <v>6.3911362499999999E-2</v>
      </c>
      <c r="C25" s="143">
        <f>SUM(B4:B6)</f>
        <v>0.29861541250000001</v>
      </c>
      <c r="D25" s="143">
        <f>SUM(B7:B7)</f>
        <v>8.2900000000000001E-2</v>
      </c>
      <c r="E25" s="143">
        <f>SUM(B8:B14)</f>
        <v>0.28688582499999998</v>
      </c>
      <c r="F25" s="143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4" customFormat="1">
      <c r="A26" s="144" t="s">
        <v>7635</v>
      </c>
      <c r="B26" s="143">
        <v>0.1188</v>
      </c>
      <c r="C26" s="143">
        <v>0.184</v>
      </c>
      <c r="D26" s="143">
        <v>9.2399999999999996E-2</v>
      </c>
      <c r="E26" s="143">
        <v>0.28439999999999999</v>
      </c>
      <c r="F26" s="143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4" customFormat="1">
      <c r="A27" s="144" t="s">
        <v>7636</v>
      </c>
      <c r="B27" s="143">
        <f>B25-B26</f>
        <v>-5.4888637500000004E-2</v>
      </c>
      <c r="C27" s="143">
        <f t="shared" ref="C27:I27" si="4">C25-C26</f>
        <v>0.11461541250000001</v>
      </c>
      <c r="D27" s="143">
        <f t="shared" si="4"/>
        <v>-9.4999999999999946E-3</v>
      </c>
      <c r="E27" s="143">
        <f t="shared" si="4"/>
        <v>2.4858249999999971E-3</v>
      </c>
      <c r="F27" s="143">
        <f t="shared" si="4"/>
        <v>-6.4850000000000005E-2</v>
      </c>
      <c r="G27" s="143">
        <f t="shared" si="4"/>
        <v>1.6100000000000003E-2</v>
      </c>
      <c r="H27" s="143">
        <f t="shared" si="4"/>
        <v>-9.499999999999998E-3</v>
      </c>
      <c r="I27" s="143">
        <f t="shared" si="4"/>
        <v>1.173739999999987E-2</v>
      </c>
    </row>
    <row r="28" spans="1:13">
      <c r="A28" s="144"/>
      <c r="F28" s="60"/>
    </row>
    <row r="29" spans="1:13">
      <c r="A29" s="144"/>
      <c r="C29" s="142">
        <v>3</v>
      </c>
      <c r="D29" s="142">
        <v>5</v>
      </c>
      <c r="E29" s="142">
        <v>7</v>
      </c>
      <c r="F29" s="142">
        <v>10</v>
      </c>
      <c r="I29" s="9" t="s">
        <v>7624</v>
      </c>
      <c r="J29" s="145" t="str">
        <f>C29&amp;$M$2</f>
        <v>3年</v>
      </c>
      <c r="K29" s="145" t="str">
        <f>D29&amp;$M$2</f>
        <v>5年</v>
      </c>
      <c r="L29" s="145" t="str">
        <f>E29&amp;$M$2</f>
        <v>7年</v>
      </c>
      <c r="M29" s="145" t="str">
        <f>F29&amp;$M$2</f>
        <v>10年</v>
      </c>
    </row>
    <row r="30" spans="1:13">
      <c r="A30" s="136" t="s">
        <v>7603</v>
      </c>
      <c r="B30" s="61">
        <f>E$2*$K$4</f>
        <v>4.4849999999999994</v>
      </c>
      <c r="C30" s="60">
        <f>($B30/$D$2)^(1/$C$29)-1+$C$2*$K$2</f>
        <v>-9.9665058260495626E-2</v>
      </c>
      <c r="D30" s="60">
        <f>($B30/$D$2)^(1/$D$29)-1+$C$2*$K$2</f>
        <v>-2.7325477321171271E-2</v>
      </c>
      <c r="E30" s="60">
        <f>($B30/$D$2)^(1/$E$29)-1+$C$2*$K$2</f>
        <v>5.629960396272532E-3</v>
      </c>
      <c r="F30" s="60">
        <f>($B30/$D$2)^(1/$F$29)-1+$C$2*$K$2</f>
        <v>3.115473645188363E-2</v>
      </c>
      <c r="I30" s="146">
        <f>K4</f>
        <v>0.3</v>
      </c>
      <c r="J30" s="147">
        <f t="shared" ref="J30:M33" si="5">(C30*$A$31+C35+$A$36+C40*$A$41+C45*$A$46+C50*$A$51+C55*$A$56+C60*$A$61+C65*$A$66+C70*$A$71+C75*$A$76+C80*$A$81+C85*$A$86+C90*$A$91+C95*$A$96+C100*$A$101+C105*$A$106+C110*$A$111+C115*$A$116+C120*$A$121+C125*$A$126)</f>
        <v>-3.718839480406548E-2</v>
      </c>
      <c r="K30" s="147">
        <f t="shared" si="5"/>
        <v>5.3933386448950703E-2</v>
      </c>
      <c r="L30" s="147">
        <f t="shared" si="5"/>
        <v>9.5485686335451084E-2</v>
      </c>
      <c r="M30" s="147">
        <f t="shared" si="5"/>
        <v>0.12768473689056409</v>
      </c>
    </row>
    <row r="31" spans="1:13">
      <c r="A31" s="135">
        <f>B2</f>
        <v>8.0543625000000004E-3</v>
      </c>
      <c r="B31" s="61">
        <f>$E$2*$K$6</f>
        <v>7.4749999999999996</v>
      </c>
      <c r="C31" s="60">
        <f>($B31/$D$2)^(1/$C$29)-1+$C$2*$K$2</f>
        <v>5.0103959923086833E-2</v>
      </c>
      <c r="D31" s="60">
        <f>($B31/$D$2)^(1/$D$29)-1+$C$2*$K$2</f>
        <v>6.7241422001869916E-2</v>
      </c>
      <c r="E31" s="60">
        <f>($B31/$D$2)^(1/$E$29)-1+$C$2*$K$2</f>
        <v>7.4679717027424292E-2</v>
      </c>
      <c r="F31" s="60">
        <f>($B31/$D$2)^(1/$F$29)-1+$C$2*$K$2</f>
        <v>8.0295703862791973E-2</v>
      </c>
      <c r="H31" s="136" t="s">
        <v>7617</v>
      </c>
      <c r="I31" s="146">
        <f>K6</f>
        <v>0.5</v>
      </c>
      <c r="J31" s="147">
        <f t="shared" si="5"/>
        <v>0.23403717338870306</v>
      </c>
      <c r="K31" s="147">
        <f t="shared" si="5"/>
        <v>0.22090018754871035</v>
      </c>
      <c r="L31" s="147">
        <f t="shared" si="5"/>
        <v>0.21614033079317793</v>
      </c>
      <c r="M31" s="147">
        <f t="shared" si="5"/>
        <v>0.21290161996783774</v>
      </c>
    </row>
    <row r="32" spans="1:13">
      <c r="B32" s="61">
        <f>E$2*$K$8</f>
        <v>10.464999999999998</v>
      </c>
      <c r="C32" s="60">
        <f>($B32/$D$2)^(1/$C$29)-1+$C$2*$K$2</f>
        <v>0.16363930469368074</v>
      </c>
      <c r="D32" s="60">
        <f>($B32/$D$2)^(1/$D$29)-1+$C$2*$K$2</f>
        <v>0.13502218798708979</v>
      </c>
      <c r="E32" s="60">
        <f>($B32/$D$2)^(1/$E$29)-1+$C$2*$K$2</f>
        <v>0.12299318546398888</v>
      </c>
      <c r="F32" s="60">
        <f>($B32/$D$2)^(1/$F$29)-1+$C$2*$K$2</f>
        <v>0.11406269552480999</v>
      </c>
      <c r="H32" s="136" t="s">
        <v>7618</v>
      </c>
      <c r="I32" s="146">
        <f>K8</f>
        <v>0.7</v>
      </c>
      <c r="J32" s="147">
        <f t="shared" si="5"/>
        <v>0.4396450405486535</v>
      </c>
      <c r="K32" s="147">
        <f t="shared" si="5"/>
        <v>0.34057353788225714</v>
      </c>
      <c r="L32" s="147">
        <f t="shared" si="5"/>
        <v>0.30056125624077673</v>
      </c>
      <c r="M32" s="147">
        <f t="shared" si="5"/>
        <v>0.27145801256532465</v>
      </c>
    </row>
    <row r="33" spans="1:13">
      <c r="B33" s="61">
        <f>E$2*$K$10</f>
        <v>14.95</v>
      </c>
      <c r="C33" s="60">
        <f>($B33/$D$2)^(1/$C$29)-1+$C$2*$K$2</f>
        <v>0.29873896749364148</v>
      </c>
      <c r="D33" s="60">
        <f>($B33/$D$2)^(1/$D$29)-1+$C$2*$K$2</f>
        <v>0.21203145218714661</v>
      </c>
      <c r="E33" s="60">
        <f>($B33/$D$2)^(1/$E$29)-1+$C$2*$K$2</f>
        <v>0.17680763436157579</v>
      </c>
      <c r="F33" s="60">
        <f>($B33/$D$2)^(1/$F$29)-1+$C$2*$K$2</f>
        <v>0.1511196540083998</v>
      </c>
      <c r="I33" s="146">
        <f>K10</f>
        <v>1</v>
      </c>
      <c r="J33" s="147">
        <f t="shared" si="5"/>
        <v>0.6843050059405309</v>
      </c>
      <c r="K33" s="147">
        <f t="shared" si="5"/>
        <v>0.47654067427537017</v>
      </c>
      <c r="L33" s="147">
        <f t="shared" si="5"/>
        <v>0.39459436388966829</v>
      </c>
      <c r="M33" s="147">
        <f t="shared" si="5"/>
        <v>0.33571963916070297</v>
      </c>
    </row>
    <row r="34" spans="1:13">
      <c r="C34" s="141"/>
      <c r="D34" s="141"/>
      <c r="E34" s="141"/>
      <c r="F34" s="141"/>
    </row>
    <row r="35" spans="1:13">
      <c r="A35" s="136" t="s">
        <v>7506</v>
      </c>
      <c r="B35" s="136">
        <f>$E$3*$K$4</f>
        <v>5.7</v>
      </c>
      <c r="C35" s="60">
        <f>($B35/$D$3)^(1/$C$29)-1+$C$3*$K$2</f>
        <v>-0.10951188434884154</v>
      </c>
      <c r="D35" s="60">
        <f>($B35/$D$3)^(1/$D$29)-1+$C$3*$K$2</f>
        <v>-3.4835336559198044E-2</v>
      </c>
      <c r="E35" s="60">
        <f>($B35/$D$3)^(1/$E$29)-1+$C$3*$K$2</f>
        <v>-7.3391494789379341E-4</v>
      </c>
      <c r="F35" s="60">
        <f>($B35/$D$3)^(1/$F$29)-1+$C$3*$K$2</f>
        <v>2.571181545105436E-2</v>
      </c>
      <c r="I35" s="148" t="s">
        <v>7625</v>
      </c>
    </row>
    <row r="36" spans="1:13">
      <c r="A36" s="135">
        <f>B3</f>
        <v>5.5856999999999997E-2</v>
      </c>
      <c r="B36" s="61">
        <f>$E$3*$K$6</f>
        <v>9.5</v>
      </c>
      <c r="C36" s="60">
        <f>($B36/$D$3)^(1/$C$29)-1+$C$3*$K$2</f>
        <v>3.9000072298817384E-2</v>
      </c>
      <c r="D36" s="60">
        <f>($B36/$D$3)^(1/$D$29)-1+$C$3*$K$2</f>
        <v>5.9254521172787705E-2</v>
      </c>
      <c r="E36" s="60">
        <f>($B36/$D$3)^(1/$E$29)-1+$C$3*$K$2</f>
        <v>6.8066861519827854E-2</v>
      </c>
      <c r="F36" s="60">
        <f>($B36/$D$3)^(1/$F$29)-1+$C$3*$K$2</f>
        <v>7.4728680645267137E-2</v>
      </c>
    </row>
    <row r="37" spans="1:13">
      <c r="B37" s="61">
        <f>$E$3*$K$8</f>
        <v>13.299999999999999</v>
      </c>
      <c r="C37" s="60">
        <f>($B37/$D$3)^(1/$C$29)-1+$C$3*$K$2</f>
        <v>0.1515824768911965</v>
      </c>
      <c r="D37" s="60">
        <f>($B37/$D$3)^(1/$D$29)-1+$C$3*$K$2</f>
        <v>0.12669336789577099</v>
      </c>
      <c r="E37" s="60">
        <f>($B37/$D$3)^(1/$E$29)-1+$C$3*$K$2</f>
        <v>0.11620612086639567</v>
      </c>
      <c r="F37" s="60">
        <f>($B37/$D$3)^(1/$F$29)-1+$C$3*$K$2</f>
        <v>0.10841039603501809</v>
      </c>
      <c r="I37" s="148" t="s">
        <v>7640</v>
      </c>
    </row>
    <row r="38" spans="1:13">
      <c r="B38" s="61">
        <f>$E$3*$K$10</f>
        <v>19</v>
      </c>
      <c r="C38" s="60">
        <f>($B38/$D$3)^(1/$C$29)-1+$C$3*$K$2</f>
        <v>0.28554820296858396</v>
      </c>
      <c r="D38" s="60">
        <f>($B38/$D$3)^(1/$D$29)-1+$C$3*$K$2</f>
        <v>0.20331415978487141</v>
      </c>
      <c r="E38" s="60">
        <f>($B38/$D$3)^(1/$E$29)-1+$C$3*$K$2</f>
        <v>0.16982652519474536</v>
      </c>
      <c r="F38" s="60">
        <f>($B38/$D$3)^(1/$F$29)-1+$C$3*$K$2</f>
        <v>0.14537376965583224</v>
      </c>
    </row>
    <row r="39" spans="1:13">
      <c r="B39" s="61"/>
      <c r="C39" s="141"/>
      <c r="D39" s="141"/>
      <c r="E39" s="141"/>
      <c r="F39" s="141"/>
      <c r="I39" s="148" t="s">
        <v>7637</v>
      </c>
    </row>
    <row r="40" spans="1:13">
      <c r="A40" s="136" t="s">
        <v>7508</v>
      </c>
      <c r="B40" s="136">
        <f>$E$4*$K$4</f>
        <v>24.971999999999998</v>
      </c>
      <c r="C40" s="60">
        <f>($B40/$D$4)^(1/$C$29)-1+$C$4*$K$2</f>
        <v>8.1219182061439701E-2</v>
      </c>
      <c r="D40" s="60">
        <f>($B40/$D$4)^(1/$D$29)-1+$C$4*$K$2</f>
        <v>7.3740376051579196E-2</v>
      </c>
      <c r="E40" s="60">
        <f>($B40/$D$4)^(1/$E$29)-1+$C$4*$K$2</f>
        <v>7.0552006697114658E-2</v>
      </c>
      <c r="F40" s="60">
        <f>($B40/$D$4)^(1/$F$29)-1+$C$4*$K$2</f>
        <v>6.8167329318651396E-2</v>
      </c>
    </row>
    <row r="41" spans="1:13">
      <c r="A41" s="135">
        <f>B4</f>
        <v>0.22490663750000001</v>
      </c>
      <c r="B41" s="136">
        <f>$E$4*$K$6</f>
        <v>41.62</v>
      </c>
      <c r="C41" s="60">
        <f>($B41/$D$4)^(1/$C$29)-1+$C$4*$K$2</f>
        <v>0.27030194205562214</v>
      </c>
      <c r="D41" s="60">
        <f>($B41/$D$4)^(1/$D$29)-1+$C$4*$K$2</f>
        <v>0.1825023596555671</v>
      </c>
      <c r="E41" s="60">
        <f>($B41/$D$4)^(1/$E$29)-1+$C$4*$K$2</f>
        <v>0.14685585059262835</v>
      </c>
      <c r="F41" s="60">
        <f>($B41/$D$4)^(1/$F$29)-1+$C$4*$K$2</f>
        <v>0.12086758072313793</v>
      </c>
      <c r="I41" s="148" t="s">
        <v>7638</v>
      </c>
    </row>
    <row r="42" spans="1:13">
      <c r="B42" s="136">
        <f>$E$4*$K$8</f>
        <v>58.267999999999994</v>
      </c>
      <c r="C42" s="60">
        <f>($B42/$D$4)^(1/$C$29)-1+$C$4*$K$2</f>
        <v>0.41363984068430032</v>
      </c>
      <c r="D42" s="60">
        <f>($B42/$D$4)^(1/$D$29)-1+$C$4*$K$2</f>
        <v>0.26045744342718918</v>
      </c>
      <c r="E42" s="60">
        <f>($B42/$D$4)^(1/$E$29)-1+$C$4*$K$2</f>
        <v>0.20024493599269616</v>
      </c>
      <c r="F42" s="60">
        <f>($B42/$D$4)^(1/$F$29)-1+$C$4*$K$2</f>
        <v>0.15708031815016971</v>
      </c>
    </row>
    <row r="43" spans="1:13">
      <c r="B43" s="136">
        <f>$E$4*$K$10</f>
        <v>83.24</v>
      </c>
      <c r="C43" s="60">
        <f>($B43/$D$4)^(1/$C$29)-1+$C$4*$K$2</f>
        <v>0.58420260076854957</v>
      </c>
      <c r="D43" s="60">
        <f>($B43/$D$4)^(1/$D$29)-1+$C$4*$K$2</f>
        <v>0.34902628083477288</v>
      </c>
      <c r="E43" s="60">
        <f>($B43/$D$4)^(1/$E$29)-1+$C$4*$K$2</f>
        <v>0.25971291254095902</v>
      </c>
      <c r="F43" s="60">
        <f>($B43/$D$4)^(1/$F$29)-1+$C$4*$K$2</f>
        <v>0.19682131494498029</v>
      </c>
      <c r="I43" s="148" t="s">
        <v>7639</v>
      </c>
    </row>
    <row r="44" spans="1:13">
      <c r="C44" s="60"/>
      <c r="D44" s="60"/>
      <c r="E44" s="60"/>
      <c r="F44" s="60"/>
    </row>
    <row r="45" spans="1:13">
      <c r="A45" s="136" t="s">
        <v>7509</v>
      </c>
      <c r="B45" s="136">
        <f>$E$5*$K$4</f>
        <v>43.445999999999998</v>
      </c>
      <c r="C45" s="60">
        <f>($B45/$D$5)^(1/$C$29)-1+$C$5*$K$2</f>
        <v>8.2671408569333402E-2</v>
      </c>
      <c r="D45" s="60">
        <f>($B45/$D$5)^(1/$D$29)-1+$C$5*$K$2</f>
        <v>6.8354721121945725E-2</v>
      </c>
      <c r="E45" s="60">
        <f>($B45/$D$5)^(1/$E$29)-1+$C$5*$K$2</f>
        <v>6.227975707674592E-2</v>
      </c>
      <c r="F45" s="60">
        <f>($B45/$D$5)^(1/$F$29)-1+$C$5*$K$2</f>
        <v>5.7747264282266939E-2</v>
      </c>
    </row>
    <row r="46" spans="1:13">
      <c r="A46" s="135">
        <f>B5</f>
        <v>4.9623162499999998E-2</v>
      </c>
      <c r="B46" s="136">
        <f>$E$5*$K$6</f>
        <v>72.41</v>
      </c>
      <c r="C46" s="60">
        <f>($B46/$D$5)^(1/$C$29)-1+$C$5*$K$2</f>
        <v>0.27487782515531056</v>
      </c>
      <c r="D46" s="60">
        <f>($B46/$D$5)^(1/$D$29)-1+$C$5*$K$2</f>
        <v>0.17819122204659843</v>
      </c>
      <c r="E46" s="60">
        <f>($B46/$D$5)^(1/$E$29)-1+$C$5*$K$2</f>
        <v>0.13912130573916759</v>
      </c>
      <c r="F46" s="60">
        <f>($B46/$D$5)^(1/$F$29)-1+$C$5*$K$2</f>
        <v>0.11070720273389399</v>
      </c>
    </row>
    <row r="47" spans="1:13">
      <c r="B47" s="136">
        <f>$E$5*$K$8</f>
        <v>101.374</v>
      </c>
      <c r="C47" s="60">
        <f>($B47/$D$5)^(1/$C$29)-1+$C$5*$K$2</f>
        <v>0.4205836729926804</v>
      </c>
      <c r="D47" s="60">
        <f>($B47/$D$5)^(1/$D$29)-1+$C$5*$K$2</f>
        <v>0.25691646543623059</v>
      </c>
      <c r="E47" s="60">
        <f>($B47/$D$5)^(1/$E$29)-1+$C$5*$K$2</f>
        <v>0.19288661813193797</v>
      </c>
      <c r="F47" s="60">
        <f>($B47/$D$5)^(1/$F$29)-1+$C$5*$K$2</f>
        <v>0.14709838293113409</v>
      </c>
    </row>
    <row r="48" spans="1:13">
      <c r="B48" s="136">
        <f>$E$5*$K$10</f>
        <v>144.82</v>
      </c>
      <c r="C48" s="60">
        <f>($B48/$D$5)^(1/$C$29)-1+$C$5*$K$2</f>
        <v>0.59396413834983863</v>
      </c>
      <c r="D48" s="60">
        <f>($B48/$D$5)^(1/$D$29)-1+$C$5*$K$2</f>
        <v>0.346360321363264</v>
      </c>
      <c r="E48" s="60">
        <f>($B48/$D$5)^(1/$E$29)-1+$C$5*$K$2</f>
        <v>0.2527736589479479</v>
      </c>
      <c r="F48" s="60">
        <f>($B48/$D$5)^(1/$F$29)-1+$C$5*$K$2</f>
        <v>0.18703520843326626</v>
      </c>
    </row>
    <row r="49" spans="1:6">
      <c r="C49" s="60"/>
      <c r="D49" s="60"/>
      <c r="E49" s="60"/>
      <c r="F49" s="60"/>
    </row>
    <row r="50" spans="1:6">
      <c r="A50" s="136" t="s">
        <v>40</v>
      </c>
      <c r="B50" s="136">
        <f>$E$6*$K$4</f>
        <v>41.358000000000004</v>
      </c>
      <c r="C50" s="60">
        <f>($B50/$D$6)^(1/$C$29)-1+$C$6*$K$2</f>
        <v>3.7483415460228917E-2</v>
      </c>
      <c r="D50" s="60">
        <f>($B50/$D$6)^(1/$D$29)-1+$C$6*$K$2</f>
        <v>4.8555289832231771E-2</v>
      </c>
      <c r="E50" s="60">
        <f>($B50/$D$6)^(1/$E$29)-1+$C$6*$K$2</f>
        <v>5.3338899615458998E-2</v>
      </c>
      <c r="F50" s="60">
        <f>($B50/$D$6)^(1/$F$29)-1+$C$6*$K$2</f>
        <v>5.6941874976660686E-2</v>
      </c>
    </row>
    <row r="51" spans="1:6">
      <c r="A51" s="135">
        <f>B6</f>
        <v>2.4085612499999999E-2</v>
      </c>
      <c r="B51" s="136">
        <f>$E$6*$K$6</f>
        <v>68.930000000000007</v>
      </c>
      <c r="C51" s="60">
        <f>($B51/$D$6)^(1/$C$29)-1+$C$6*$K$2</f>
        <v>0.21793233061877337</v>
      </c>
      <c r="D51" s="60">
        <f>($B51/$D$6)^(1/$D$29)-1+$C$6*$K$2</f>
        <v>0.15430970920469778</v>
      </c>
      <c r="E51" s="60">
        <f>($B51/$D$6)^(1/$E$29)-1+$C$6*$K$2</f>
        <v>0.1281295690525136</v>
      </c>
      <c r="F51" s="60">
        <f>($B51/$D$6)^(1/$F$29)-1+$C$6*$K$2</f>
        <v>0.10890836566109884</v>
      </c>
    </row>
    <row r="52" spans="1:6">
      <c r="B52" s="136">
        <f>$E$6*$K$8</f>
        <v>96.50200000000001</v>
      </c>
      <c r="C52" s="60">
        <f>($B52/$D$6)^(1/$C$29)-1+$C$6*$K$2</f>
        <v>0.35472517365452216</v>
      </c>
      <c r="D52" s="60">
        <f>($B52/$D$6)^(1/$D$29)-1+$C$6*$K$2</f>
        <v>0.23010912319311216</v>
      </c>
      <c r="E52" s="60">
        <f>($B52/$D$6)^(1/$E$29)-1+$C$6*$K$2</f>
        <v>0.18045990044670812</v>
      </c>
      <c r="F52" s="60">
        <f>($B52/$D$6)^(1/$F$29)-1+$C$6*$K$2</f>
        <v>0.14461690275547123</v>
      </c>
    </row>
    <row r="53" spans="1:6">
      <c r="B53" s="136">
        <f>$E$6*$K$10</f>
        <v>137.86000000000001</v>
      </c>
      <c r="C53" s="60">
        <f>($B53/$D$6)^(1/$C$29)-1+$C$6*$K$2</f>
        <v>0.51749974403098997</v>
      </c>
      <c r="D53" s="60">
        <f>($B53/$D$6)^(1/$D$29)-1+$C$6*$K$2</f>
        <v>0.31622879170373597</v>
      </c>
      <c r="E53" s="60">
        <f>($B53/$D$6)^(1/$E$29)-1+$C$6*$K$2</f>
        <v>0.23874857306196973</v>
      </c>
      <c r="F53" s="60">
        <f>($B53/$D$6)^(1/$F$29)-1+$C$6*$K$2</f>
        <v>0.18380457425018426</v>
      </c>
    </row>
    <row r="54" spans="1:6">
      <c r="C54" s="60"/>
      <c r="D54" s="60"/>
      <c r="E54" s="60"/>
      <c r="F54" s="60"/>
    </row>
    <row r="55" spans="1:6">
      <c r="A55" s="136" t="s">
        <v>7511</v>
      </c>
      <c r="B55" s="136">
        <f>$E$7*$K$4</f>
        <v>6.5190000000000001</v>
      </c>
      <c r="C55" s="60">
        <f>($B55/$D$7)^(1/$C$29)-1+$C$7*$K$2</f>
        <v>-6.5553512201730113E-2</v>
      </c>
      <c r="D55" s="60">
        <f>($B55/$D$7)^(1/$D$29)-1+$C$7*$K$2</f>
        <v>-3.8186655039267325E-3</v>
      </c>
      <c r="E55" s="60">
        <f>($B55/$D$7)^(1/$E$29)-1+$C$7*$K$2</f>
        <v>2.4013951383923371E-2</v>
      </c>
      <c r="F55" s="60">
        <f>($B55/$D$7)^(1/$F$29)-1+$C$7*$K$2</f>
        <v>4.5452602180481527E-2</v>
      </c>
    </row>
    <row r="56" spans="1:6">
      <c r="A56" s="135">
        <f>B7</f>
        <v>8.2900000000000001E-2</v>
      </c>
      <c r="B56" s="136">
        <f>$E$7*$K$6</f>
        <v>10.865</v>
      </c>
      <c r="C56" s="60">
        <f>($B56/$D$7)^(1/$C$29)-1+$C$7*$K$2</f>
        <v>8.9823708554658932E-2</v>
      </c>
      <c r="D56" s="60">
        <f>($B56/$D$7)^(1/$D$29)-1+$C$7*$K$2</f>
        <v>9.2857266869052824E-2</v>
      </c>
      <c r="E56" s="60">
        <f>($B56/$D$7)^(1/$E$29)-1+$C$7*$K$2</f>
        <v>9.4160200300689501E-2</v>
      </c>
      <c r="F56" s="60">
        <f>($B56/$D$7)^(1/$F$29)-1+$C$7*$K$2</f>
        <v>9.5138519437845792E-2</v>
      </c>
    </row>
    <row r="57" spans="1:6">
      <c r="B57" s="136">
        <f>$E$7*$K$8</f>
        <v>15.210999999999999</v>
      </c>
      <c r="C57" s="60">
        <f>($B57/$D$7)^(1/$C$29)-1+$C$7*$K$2</f>
        <v>0.20761046139595563</v>
      </c>
      <c r="D57" s="60">
        <f>($B57/$D$7)^(1/$D$29)-1+$C$7*$K$2</f>
        <v>0.16214968097466465</v>
      </c>
      <c r="E57" s="60">
        <f>($B57/$D$7)^(1/$E$29)-1+$C$7*$K$2</f>
        <v>0.14324087412676689</v>
      </c>
      <c r="F57" s="60">
        <f>($B57/$D$7)^(1/$F$29)-1+$C$7*$K$2</f>
        <v>0.12927997090175636</v>
      </c>
    </row>
    <row r="58" spans="1:6">
      <c r="B58" s="136">
        <f>$E$7*$K$10</f>
        <v>21.73</v>
      </c>
      <c r="C58" s="60">
        <f>($B58/$D$7)^(1/$C$29)-1+$C$7*$K$2</f>
        <v>0.34776902279650213</v>
      </c>
      <c r="D58" s="60">
        <f>($B58/$D$7)^(1/$D$29)-1+$C$7*$K$2</f>
        <v>0.24087640746345051</v>
      </c>
      <c r="E58" s="60">
        <f>($B58/$D$7)^(1/$E$29)-1+$C$7*$K$2</f>
        <v>0.19790988256155806</v>
      </c>
      <c r="F58" s="60">
        <f>($B58/$D$7)^(1/$F$29)-1+$C$7*$K$2</f>
        <v>0.16674787334717134</v>
      </c>
    </row>
    <row r="59" spans="1:6">
      <c r="C59" s="60"/>
      <c r="D59" s="60"/>
      <c r="E59" s="60"/>
      <c r="F59" s="60"/>
    </row>
    <row r="60" spans="1:6">
      <c r="A60" s="136" t="s">
        <v>7604</v>
      </c>
      <c r="B60" s="136">
        <f>$E$8*$K$4</f>
        <v>15.741</v>
      </c>
      <c r="C60" s="60">
        <f>($B60/$D$8)^(1/$C$29)-1+$C$8*$K$2</f>
        <v>-6.8766596323493245E-2</v>
      </c>
      <c r="D60" s="60">
        <f>($B60/$D$8)^(1/$D$29)-1+$C$8*$K$2</f>
        <v>-9.0151306054827574E-3</v>
      </c>
      <c r="E60" s="60">
        <f>($B60/$D$8)^(1/$E$29)-1+$C$8*$K$2</f>
        <v>1.7872708335259113E-2</v>
      </c>
      <c r="F60" s="60">
        <f>($B60/$D$8)^(1/$F$29)-1+$C$8*$K$2</f>
        <v>3.8563085179121659E-2</v>
      </c>
    </row>
    <row r="61" spans="1:6">
      <c r="A61" s="135">
        <f>B8</f>
        <v>7.2749999999999995E-2</v>
      </c>
      <c r="B61" s="136">
        <f>$E$8*$K$6</f>
        <v>26.234999999999999</v>
      </c>
      <c r="C61" s="60">
        <f>($B61/$D$8)^(1/$C$29)-1+$C$8*$K$2</f>
        <v>8.7643089003804908E-2</v>
      </c>
      <c r="D61" s="60">
        <f>($B61/$D$8)^(1/$D$29)-1+$C$8*$K$2</f>
        <v>8.8045731680708839E-2</v>
      </c>
      <c r="E61" s="60">
        <f>($B61/$D$8)^(1/$E$29)-1+$C$8*$K$2</f>
        <v>8.821834250307814E-2</v>
      </c>
      <c r="F61" s="60">
        <f>($B61/$D$8)^(1/$F$29)-1+$C$8*$K$2</f>
        <v>8.8347820184033754E-2</v>
      </c>
    </row>
    <row r="62" spans="1:6">
      <c r="B62" s="136">
        <f>$E$8*$K$8</f>
        <v>36.728999999999999</v>
      </c>
      <c r="C62" s="60">
        <f>($B62/$D$8)^(1/$C$29)-1+$C$8*$K$2</f>
        <v>0.20621252188429307</v>
      </c>
      <c r="D62" s="60">
        <f>($B62/$D$8)^(1/$D$29)-1+$C$8*$K$2</f>
        <v>0.15761404406103308</v>
      </c>
      <c r="E62" s="60">
        <f>($B62/$D$8)^(1/$E$29)-1+$C$8*$K$2</f>
        <v>0.13743852432315073</v>
      </c>
      <c r="F62" s="60">
        <f>($B62/$D$8)^(1/$F$29)-1+$C$8*$K$2</f>
        <v>0.12255717381253961</v>
      </c>
    </row>
    <row r="63" spans="1:6">
      <c r="B63" s="136">
        <f>$E$8*$K$10</f>
        <v>52.47</v>
      </c>
      <c r="C63" s="60">
        <f>($B63/$D$8)^(1/$C$29)-1+$C$8*$K$2</f>
        <v>0.34730242153539626</v>
      </c>
      <c r="D63" s="60">
        <f>($B63/$D$8)^(1/$D$29)-1+$C$8*$K$2</f>
        <v>0.23665423297268828</v>
      </c>
      <c r="E63" s="60">
        <f>($B63/$D$8)^(1/$E$29)-1+$C$8*$K$2</f>
        <v>0.19226292515796228</v>
      </c>
      <c r="F63" s="60">
        <f>($B63/$D$8)^(1/$F$29)-1+$C$8*$K$2</f>
        <v>0.16009959422862641</v>
      </c>
    </row>
    <row r="64" spans="1:6">
      <c r="C64" s="60"/>
      <c r="D64" s="60"/>
      <c r="E64" s="60"/>
      <c r="F64" s="60"/>
    </row>
    <row r="65" spans="1:6">
      <c r="A65" s="136" t="s">
        <v>7605</v>
      </c>
      <c r="B65" s="136">
        <f>$E$9*$K$4</f>
        <v>22.326000000000001</v>
      </c>
      <c r="C65" s="60">
        <f>($B65/$D$9)^(1/$C$29)-1+$C$9*$K$2</f>
        <v>-2.3106795940951386E-2</v>
      </c>
      <c r="D65" s="60">
        <f>($B65/$D$9)^(1/$D$29)-1+$C$9*$K$2</f>
        <v>1.7755069522520872E-2</v>
      </c>
      <c r="E65" s="60">
        <f>($B65/$D$9)^(1/$E$29)-1+$C$9*$K$2</f>
        <v>3.583394141171764E-2</v>
      </c>
      <c r="F65" s="60">
        <f>($B65/$D$9)^(1/$F$29)-1+$C$9*$K$2</f>
        <v>4.9622087541512039E-2</v>
      </c>
    </row>
    <row r="66" spans="1:6">
      <c r="A66" s="135">
        <f>B9</f>
        <v>6.1076224999999998E-2</v>
      </c>
      <c r="B66" s="136">
        <f>$E$9*$K$6</f>
        <v>37.21</v>
      </c>
      <c r="C66" s="60">
        <f>($B66/$D$9)^(1/$C$29)-1+$C$9*$K$2</f>
        <v>0.14290647736706913</v>
      </c>
      <c r="D66" s="60">
        <f>($B66/$D$9)^(1/$D$29)-1+$C$9*$K$2</f>
        <v>0.11834896987973992</v>
      </c>
      <c r="E66" s="60">
        <f>($B66/$D$9)^(1/$E$29)-1+$C$9*$K$2</f>
        <v>0.10799920831515747</v>
      </c>
      <c r="F66" s="60">
        <f>($B66/$D$9)^(1/$F$29)-1+$C$9*$K$2</f>
        <v>0.10030481182617418</v>
      </c>
    </row>
    <row r="67" spans="1:6">
      <c r="B67" s="136">
        <f>$E$9*$K$8</f>
        <v>52.094000000000001</v>
      </c>
      <c r="C67" s="60">
        <f>($B67/$D$9)^(1/$C$29)-1+$C$9*$K$2</f>
        <v>0.26875609867137101</v>
      </c>
      <c r="D67" s="60">
        <f>($B67/$D$9)^(1/$D$29)-1+$C$9*$K$2</f>
        <v>0.19044958508931481</v>
      </c>
      <c r="E67" s="60">
        <f>($B67/$D$9)^(1/$E$29)-1+$C$9*$K$2</f>
        <v>0.15849257012930534</v>
      </c>
      <c r="F67" s="60">
        <f>($B67/$D$9)^(1/$F$29)-1+$C$9*$K$2</f>
        <v>0.1351312146932177</v>
      </c>
    </row>
    <row r="68" spans="1:6">
      <c r="B68" s="136">
        <f>$E$9*$K$10</f>
        <v>74.42</v>
      </c>
      <c r="C68" s="60">
        <f>($B68/$D$9)^(1/$C$29)-1+$C$9*$K$2</f>
        <v>0.41850894820089962</v>
      </c>
      <c r="D68" s="60">
        <f>($B68/$D$9)^(1/$D$29)-1+$C$9*$K$2</f>
        <v>0.27236685534960586</v>
      </c>
      <c r="E68" s="60">
        <f>($B68/$D$9)^(1/$E$29)-1+$C$9*$K$2</f>
        <v>0.21473511546803631</v>
      </c>
      <c r="F68" s="60">
        <f>($B68/$D$9)^(1/$F$29)-1+$C$9*$K$2</f>
        <v>0.17335080434734879</v>
      </c>
    </row>
    <row r="69" spans="1:6">
      <c r="C69" s="60"/>
      <c r="D69" s="60"/>
      <c r="E69" s="60"/>
      <c r="F69" s="60"/>
    </row>
    <row r="70" spans="1:6">
      <c r="A70" s="136" t="s">
        <v>7606</v>
      </c>
      <c r="B70" s="136">
        <f>$E$10*$K$4</f>
        <v>36.347999999999999</v>
      </c>
      <c r="C70" s="60">
        <f>($B70/$D$10)^(1/$C$29)-1+$C$10*$K$2</f>
        <v>-4.6426786501823983E-2</v>
      </c>
      <c r="D70" s="60">
        <f>($B70/$D$10)^(1/$D$29)-1+$C$10*$K$2</f>
        <v>-9.6633442572899991E-3</v>
      </c>
      <c r="E70" s="60">
        <f>($B70/$D$10)^(1/$E$29)-1+$C$10*$K$2</f>
        <v>6.5459699684859846E-3</v>
      </c>
      <c r="F70" s="60">
        <f>($B70/$D$10)^(1/$F$29)-1+$C$10*$K$2</f>
        <v>1.8885728177944081E-2</v>
      </c>
    </row>
    <row r="71" spans="1:6">
      <c r="A71" s="135">
        <f>B10</f>
        <v>3.70254125E-2</v>
      </c>
      <c r="B71" s="136">
        <f>$E$10*$K$6</f>
        <v>60.58</v>
      </c>
      <c r="C71" s="60">
        <f>($B71/$D$10)^(1/$C$29)-1+$C$10*$K$2</f>
        <v>0.12162007727528844</v>
      </c>
      <c r="D71" s="60">
        <f>($B71/$D$10)^(1/$D$29)-1+$C$10*$K$2</f>
        <v>9.1668094006801523E-2</v>
      </c>
      <c r="E71" s="60">
        <f>($B71/$D$10)^(1/$E$29)-1+$C$10*$K$2</f>
        <v>7.9088773584375924E-2</v>
      </c>
      <c r="F71" s="60">
        <f>($B71/$D$10)^(1/$F$29)-1+$C$10*$K$2</f>
        <v>6.9753911836849078E-2</v>
      </c>
    </row>
    <row r="72" spans="1:6">
      <c r="B72" s="136">
        <f>$E$10*$K$8</f>
        <v>84.811999999999998</v>
      </c>
      <c r="C72" s="60">
        <f>($B72/$D$10)^(1/$C$29)-1+$C$10*$K$2</f>
        <v>0.24901130176181541</v>
      </c>
      <c r="D72" s="60">
        <f>($B72/$D$10)^(1/$D$29)-1+$C$10*$K$2</f>
        <v>0.16429733905016408</v>
      </c>
      <c r="E72" s="60">
        <f>($B72/$D$10)^(1/$E$29)-1+$C$10*$K$2</f>
        <v>0.12984629430263173</v>
      </c>
      <c r="F72" s="60">
        <f>($B72/$D$10)^(1/$F$29)-1+$C$10*$K$2</f>
        <v>0.1047077522671651</v>
      </c>
    </row>
    <row r="73" spans="1:6">
      <c r="B73" s="136">
        <f>$E$10*$K$10</f>
        <v>121.16</v>
      </c>
      <c r="C73" s="60">
        <f>($B73/$D$10)^(1/$C$29)-1+$C$10*$K$2</f>
        <v>0.40059855863392779</v>
      </c>
      <c r="D73" s="60">
        <f>($B73/$D$10)^(1/$D$29)-1+$C$10*$K$2</f>
        <v>0.24681521324200473</v>
      </c>
      <c r="E73" s="60">
        <f>($B73/$D$10)^(1/$E$29)-1+$C$10*$K$2</f>
        <v>0.18638307572719914</v>
      </c>
      <c r="F73" s="60">
        <f>($B73/$D$10)^(1/$F$29)-1+$C$10*$K$2</f>
        <v>0.14306719591062134</v>
      </c>
    </row>
    <row r="74" spans="1:6">
      <c r="C74" s="60"/>
      <c r="D74" s="60"/>
      <c r="E74" s="60"/>
      <c r="F74" s="60"/>
    </row>
    <row r="75" spans="1:6">
      <c r="A75" s="136" t="s">
        <v>7516</v>
      </c>
      <c r="B75" s="136">
        <f>$E$11*$K$4</f>
        <v>21.338999999999999</v>
      </c>
      <c r="C75" s="60">
        <f>($B75/$D$11)^(1/$C$29)-1+$C$11*$K$2</f>
        <v>-4.8073145962055294E-2</v>
      </c>
      <c r="D75" s="60">
        <f>($B75/$D$11)^(1/$D$29)-1+$C$11*$K$2</f>
        <v>-7.9695690474444331E-3</v>
      </c>
      <c r="E75" s="60">
        <f>($B75/$D$11)^(1/$E$29)-1+$C$11*$K$2</f>
        <v>9.7623439490450298E-3</v>
      </c>
      <c r="F75" s="60">
        <f>($B75/$D$11)^(1/$F$29)-1+$C$11*$K$2</f>
        <v>2.3281273076988754E-2</v>
      </c>
    </row>
    <row r="76" spans="1:6">
      <c r="A76" s="135">
        <f>B11</f>
        <v>6.0069037499999992E-2</v>
      </c>
      <c r="B76" s="136">
        <f>$E$11*$K$6</f>
        <v>35.564999999999998</v>
      </c>
      <c r="C76" s="60">
        <f>($B76/$D$11)^(1/$C$29)-1+$C$11*$K$2</f>
        <v>0.11831763603160657</v>
      </c>
      <c r="D76" s="60">
        <f>($B76/$D$11)^(1/$D$29)-1+$C$11*$K$2</f>
        <v>9.2761517275123564E-2</v>
      </c>
      <c r="E76" s="60">
        <f>($B76/$D$11)^(1/$E$29)-1+$C$11*$K$2</f>
        <v>8.1997894396640028E-2</v>
      </c>
      <c r="F76" s="60">
        <f>($B76/$D$11)^(1/$F$29)-1+$C$11*$K$2</f>
        <v>7.3998545129983453E-2</v>
      </c>
    </row>
    <row r="77" spans="1:6">
      <c r="B77" s="61">
        <f>$E$11*$K$8</f>
        <v>49.790999999999997</v>
      </c>
      <c r="C77" s="60">
        <f>($B77/$D$11)^(1/$C$29)-1+$C$11*$K$2</f>
        <v>0.24445343520699275</v>
      </c>
      <c r="D77" s="60">
        <f>($B77/$D$11)^(1/$D$29)-1+$C$11*$K$2</f>
        <v>0.16496046043962048</v>
      </c>
      <c r="E77" s="60">
        <f>($B77/$D$11)^(1/$E$29)-1+$C$11*$K$2</f>
        <v>0.13254043294880741</v>
      </c>
      <c r="F77" s="60">
        <f>($B77/$D$11)^(1/$F$29)-1+$C$11*$K$2</f>
        <v>0.10884868733849069</v>
      </c>
    </row>
    <row r="78" spans="1:6">
      <c r="A78" s="135"/>
      <c r="B78" s="61">
        <f>$E$11*$K$10</f>
        <v>71.13</v>
      </c>
      <c r="C78" s="60">
        <f>($B78/$D$11)^(1/$C$29)-1+$C$11*$K$2</f>
        <v>0.39454681775698669</v>
      </c>
      <c r="D78" s="60">
        <f>($B78/$D$11)^(1/$D$29)-1+$C$11*$K$2</f>
        <v>0.24698944621903812</v>
      </c>
      <c r="E78" s="60">
        <f>($B78/$D$11)^(1/$E$29)-1+$C$11*$K$2</f>
        <v>0.18883775429805333</v>
      </c>
      <c r="F78" s="60">
        <f>($B78/$D$11)^(1/$F$29)-1+$C$11*$K$2</f>
        <v>0.1470943292924492</v>
      </c>
    </row>
    <row r="79" spans="1:6">
      <c r="B79" s="61"/>
      <c r="C79" s="60"/>
      <c r="D79" s="60"/>
      <c r="E79" s="60"/>
      <c r="F79" s="60"/>
    </row>
    <row r="80" spans="1:6">
      <c r="A80" s="136" t="s">
        <v>7517</v>
      </c>
      <c r="B80" s="61">
        <f>$E$12*$K$4</f>
        <v>12.422999999999998</v>
      </c>
      <c r="C80" s="60">
        <f>($B80/$D$12)^(1/$C$29)-1+$C$12*$K$2</f>
        <v>-4.6199897657549505E-2</v>
      </c>
      <c r="D80" s="60">
        <f>($B80/$D$12)^(1/$D$29)-1+$C$12*$K$2</f>
        <v>2.1597783856711628E-2</v>
      </c>
      <c r="E80" s="60">
        <f>($B80/$D$12)^(1/$E$29)-1+$C$12*$K$2</f>
        <v>5.2344030622910376E-2</v>
      </c>
      <c r="F80" s="60">
        <f>($B80/$D$12)^(1/$F$29)-1+$C$12*$K$2</f>
        <v>7.6100616333031779E-2</v>
      </c>
    </row>
    <row r="81" spans="1:11">
      <c r="A81" s="135">
        <f>B12</f>
        <v>8.0000000000000002E-3</v>
      </c>
      <c r="B81" s="61">
        <f>$E$12*$K$6</f>
        <v>20.704999999999998</v>
      </c>
      <c r="C81" s="60">
        <f>($B81/$D$12)^(1/$C$29)-1+$C$12*$K$2</f>
        <v>0.10598977990245173</v>
      </c>
      <c r="D81" s="60">
        <f>($B81/$D$12)^(1/$D$29)-1+$C$12*$K$2</f>
        <v>0.11707881005862664</v>
      </c>
      <c r="E81" s="60">
        <f>($B81/$D$12)^(1/$E$29)-1+$C$12*$K$2</f>
        <v>0.12186989339035248</v>
      </c>
      <c r="F81" s="60">
        <f>($B81/$D$12)^(1/$F$29)-1+$C$12*$K$2</f>
        <v>0.12547852206006993</v>
      </c>
    </row>
    <row r="82" spans="1:11">
      <c r="A82" s="135"/>
      <c r="B82" s="61">
        <f>$E$12*$K$8</f>
        <v>28.986999999999995</v>
      </c>
      <c r="C82" s="60">
        <f>($B82/$D$12)^(1/$C$29)-1+$C$12*$K$2</f>
        <v>0.22136015304010748</v>
      </c>
      <c r="D82" s="60">
        <f>($B82/$D$12)^(1/$D$29)-1+$C$12*$K$2</f>
        <v>0.1855147759129474</v>
      </c>
      <c r="E82" s="60">
        <f>($B82/$D$12)^(1/$E$29)-1+$C$12*$K$2</f>
        <v>0.17051648883431536</v>
      </c>
      <c r="F82" s="60">
        <f>($B82/$D$12)^(1/$F$29)-1+$C$12*$K$2</f>
        <v>0.15940832480552203</v>
      </c>
    </row>
    <row r="83" spans="1:11">
      <c r="B83" s="61">
        <f>$E$12*$K$10</f>
        <v>41.41</v>
      </c>
      <c r="C83" s="60">
        <f>($B83/$D$12)^(1/$C$29)-1+$C$12*$K$2</f>
        <v>0.35864338003427831</v>
      </c>
      <c r="D83" s="60">
        <f>($B83/$D$12)^(1/$D$29)-1+$C$12*$K$2</f>
        <v>0.26326844686453699</v>
      </c>
      <c r="E83" s="60">
        <f>($B83/$D$12)^(1/$E$29)-1+$C$12*$K$2</f>
        <v>0.22470199464203877</v>
      </c>
      <c r="F83" s="60">
        <f>($B83/$D$12)^(1/$F$29)-1+$C$12*$K$2</f>
        <v>0.19664395729181461</v>
      </c>
    </row>
    <row r="84" spans="1:11">
      <c r="B84" s="61"/>
      <c r="C84" s="60"/>
      <c r="D84" s="60"/>
      <c r="E84" s="60"/>
      <c r="F84" s="60"/>
    </row>
    <row r="85" spans="1:11">
      <c r="A85" s="136" t="s">
        <v>7607</v>
      </c>
      <c r="B85" s="61">
        <f>$E$13*$K$4</f>
        <v>1.05</v>
      </c>
      <c r="C85" s="60">
        <f>($B85/$D$13)^(1/$C$29)-1+$C$13*$K$2</f>
        <v>0.12176206279969262</v>
      </c>
      <c r="D85" s="60">
        <f>($B85/$D$13)^(1/$D$29)-1+$C$13*$K$2</f>
        <v>0.1103727977161181</v>
      </c>
      <c r="E85" s="60">
        <f>($B85/$D$13)^(1/$E$29)-1+$C$13*$K$2</f>
        <v>0.10553038425833053</v>
      </c>
      <c r="F85" s="60">
        <f>($B85/$D$13)^(1/$F$29)-1+$C$13*$K$2</f>
        <v>0.1019137136001266</v>
      </c>
    </row>
    <row r="86" spans="1:11">
      <c r="A86" s="135">
        <f>B13</f>
        <v>1.6E-2</v>
      </c>
      <c r="B86" s="61">
        <f>$E$13*$K$6</f>
        <v>1.75</v>
      </c>
      <c r="C86" s="60">
        <f>($B86/$D$13)^(1/$C$29)-1+$C$13*$K$2</f>
        <v>0.31263484136691833</v>
      </c>
      <c r="D86" s="60">
        <f>($B86/$D$13)^(1/$D$29)-1+$C$13*$K$2</f>
        <v>0.21975139695651782</v>
      </c>
      <c r="E86" s="60">
        <f>($B86/$D$13)^(1/$E$29)-1+$C$13*$K$2</f>
        <v>0.1821429765877193</v>
      </c>
      <c r="F86" s="60">
        <f>($B86/$D$13)^(1/$F$29)-1+$C$13*$K$2</f>
        <v>0.15476314337617816</v>
      </c>
    </row>
    <row r="87" spans="1:11">
      <c r="B87" s="61">
        <f>$E$13*$K$8</f>
        <v>2.4499999999999997</v>
      </c>
      <c r="C87" s="60">
        <f>($B87/$D$13)^(1/$C$29)-1+$C$13*$K$2</f>
        <v>0.45732969871977713</v>
      </c>
      <c r="D87" s="60">
        <f>($B87/$D$13)^(1/$D$29)-1+$C$13*$K$2</f>
        <v>0.29814843960015158</v>
      </c>
      <c r="E87" s="60">
        <f>($B87/$D$13)^(1/$E$29)-1+$C$13*$K$2</f>
        <v>0.23574809037720704</v>
      </c>
      <c r="F87" s="60">
        <f>($B87/$D$13)^(1/$F$29)-1+$C$13*$K$2</f>
        <v>0.19107838804094249</v>
      </c>
    </row>
    <row r="88" spans="1:11">
      <c r="B88" s="61">
        <f>$E$13*$K$10</f>
        <v>3.5</v>
      </c>
      <c r="C88" s="60">
        <f>($B88/$D$13)^(1/$C$29)-1+$C$13*$K$2</f>
        <v>0.62950715127218004</v>
      </c>
      <c r="D88" s="60">
        <f>($B88/$D$13)^(1/$D$29)-1+$C$13*$K$2</f>
        <v>0.3872194095381899</v>
      </c>
      <c r="E88" s="60">
        <f>($B88/$D$13)^(1/$E$29)-1+$C$13*$K$2</f>
        <v>0.29545669234730465</v>
      </c>
      <c r="F88" s="60">
        <f>($B88/$D$13)^(1/$F$29)-1+$C$13*$K$2</f>
        <v>0.23093187950187369</v>
      </c>
    </row>
    <row r="89" spans="1:11">
      <c r="B89" s="61"/>
      <c r="C89" s="60"/>
      <c r="D89" s="60"/>
      <c r="E89" s="60"/>
      <c r="F89" s="60"/>
    </row>
    <row r="90" spans="1:11">
      <c r="A90" s="135" t="s">
        <v>7519</v>
      </c>
      <c r="B90" s="61">
        <f>$E$14*$K$4</f>
        <v>1.512</v>
      </c>
      <c r="C90" s="60">
        <f>($B90/$D$14)^(1/$C$29)-1+$C$14*$K$2</f>
        <v>6.7676167417769384E-2</v>
      </c>
      <c r="D90" s="60">
        <f>($B90/$D$14)^(1/$D$29)-1+$C$14*$K$2</f>
        <v>5.522309967517669E-2</v>
      </c>
      <c r="E90" s="60">
        <f>($B90/$D$14)^(1/$E$29)-1+$C$14*$K$2</f>
        <v>4.993222947861542E-2</v>
      </c>
      <c r="F90" s="60">
        <f>($B90/$D$14)^(1/$F$29)-1+$C$14*$K$2</f>
        <v>4.5982123383260354E-2</v>
      </c>
    </row>
    <row r="91" spans="1:11">
      <c r="A91" s="135">
        <f>B14</f>
        <v>3.1965149999999998E-2</v>
      </c>
      <c r="B91" s="61">
        <f>$E$14*$K$6</f>
        <v>2.52</v>
      </c>
      <c r="C91" s="60">
        <f>($B91/$D$14)^(1/$C$29)-1+$C$14*$K$2</f>
        <v>0.25903420510467623</v>
      </c>
      <c r="D91" s="60">
        <f>($B91/$D$14)^(1/$D$29)-1+$C$14*$K$2</f>
        <v>0.16476845922824312</v>
      </c>
      <c r="E91" s="60">
        <f>($B91/$D$14)^(1/$E$29)-1+$C$14*$K$2</f>
        <v>0.12662823561190761</v>
      </c>
      <c r="F91" s="60">
        <f>($B91/$D$14)^(1/$F$29)-1+$C$14*$K$2</f>
        <v>9.8871825346341757E-2</v>
      </c>
    </row>
    <row r="92" spans="1:11">
      <c r="B92" s="61">
        <f>$E$14*$K$8</f>
        <v>3.5279999999999996</v>
      </c>
      <c r="C92" s="60">
        <f>($B92/$D$14)^(1/$C$29)-1+$C$14*$K$2</f>
        <v>0.40409692266069508</v>
      </c>
      <c r="D92" s="60">
        <f>($B92/$D$14)^(1/$D$29)-1+$C$14*$K$2</f>
        <v>0.24328502722175493</v>
      </c>
      <c r="E92" s="60">
        <f>($B92/$D$14)^(1/$E$29)-1+$C$14*$K$2</f>
        <v>0.18029171325926641</v>
      </c>
      <c r="F92" s="60">
        <f>($B92/$D$14)^(1/$F$29)-1+$C$14*$K$2</f>
        <v>0.13521474286077295</v>
      </c>
    </row>
    <row r="93" spans="1:11">
      <c r="B93" s="61">
        <f>$E$14*$K$10</f>
        <v>5.04</v>
      </c>
      <c r="C93" s="60">
        <f>($B93/$D$14)^(1/$C$29)-1+$C$14*$K$2</f>
        <v>0.57671210488666225</v>
      </c>
      <c r="D93" s="60">
        <f>($B93/$D$14)^(1/$D$29)-1+$C$14*$K$2</f>
        <v>0.33249179614514801</v>
      </c>
      <c r="E93" s="60">
        <f>($B93/$D$14)^(1/$E$29)-1+$C$14*$K$2</f>
        <v>0.2400653244068981</v>
      </c>
      <c r="F93" s="60">
        <f>($B93/$D$14)^(1/$F$29)-1+$C$14*$K$2</f>
        <v>0.17509860337712657</v>
      </c>
    </row>
    <row r="94" spans="1:11">
      <c r="A94" s="135"/>
      <c r="B94" s="61"/>
      <c r="C94" s="60"/>
      <c r="D94" s="60"/>
      <c r="E94" s="60"/>
      <c r="F94" s="60"/>
      <c r="H94" s="60"/>
      <c r="I94" s="60"/>
      <c r="J94" s="60"/>
      <c r="K94" s="60"/>
    </row>
    <row r="95" spans="1:11">
      <c r="A95" s="136" t="s">
        <v>7522</v>
      </c>
      <c r="B95" s="61">
        <f>$E$15*$K$4</f>
        <v>4.3380000000000001</v>
      </c>
      <c r="C95" s="60">
        <f>($B95/$D$15)^(1/$C$29)-1+$C$15*$K$2</f>
        <v>-0.16823440263109923</v>
      </c>
      <c r="D95" s="60">
        <f>($B95/$D$15)^(1/$D$29)-1+$C$15*$K$2</f>
        <v>-7.6136501237766496E-2</v>
      </c>
      <c r="E95" s="60">
        <f>($B95/$D$15)^(1/$E$29)-1+$C$15*$K$2</f>
        <v>-3.3272661248347823E-2</v>
      </c>
      <c r="F95" s="60">
        <f>($B95/$D$15)^(1/$F$29)-1+$C$15*$K$2</f>
        <v>3.0433053866463222E-4</v>
      </c>
      <c r="H95" s="60"/>
      <c r="I95" s="60"/>
      <c r="J95" s="60"/>
      <c r="K95" s="60"/>
    </row>
    <row r="96" spans="1:11">
      <c r="A96" s="135">
        <f>B15</f>
        <v>8.0000000000000002E-3</v>
      </c>
      <c r="B96" s="61">
        <f>$E$15*$K$6</f>
        <v>7.23</v>
      </c>
      <c r="C96" s="60">
        <f>($B96/$D$15)^(1/$C$29)-1+$C$15*$K$2</f>
        <v>-2.9370161799732619E-2</v>
      </c>
      <c r="D96" s="60">
        <f>($B96/$D$15)^(1/$D$29)-1+$C$15*$K$2</f>
        <v>1.423681405477617E-2</v>
      </c>
      <c r="E96" s="60">
        <f>($B96/$D$15)^(1/$E$29)-1+$C$15*$K$2</f>
        <v>3.3575810678572737E-2</v>
      </c>
      <c r="F96" s="60">
        <f>($B96/$D$15)^(1/$F$29)-1+$C$15*$K$2</f>
        <v>4.8343361069144608E-2</v>
      </c>
      <c r="H96" s="60"/>
      <c r="I96" s="60"/>
      <c r="J96" s="60"/>
      <c r="K96" s="60"/>
    </row>
    <row r="97" spans="1:11">
      <c r="B97" s="61">
        <f>$E$15*$K$8</f>
        <v>10.122</v>
      </c>
      <c r="C97" s="60">
        <f>($B97/$D$15)^(1/$C$29)-1+$C$15*$K$2</f>
        <v>7.5898602396681558E-2</v>
      </c>
      <c r="D97" s="60">
        <f>($B97/$D$15)^(1/$D$29)-1+$C$15*$K$2</f>
        <v>7.9011831307137625E-2</v>
      </c>
      <c r="E97" s="60">
        <f>($B97/$D$15)^(1/$E$29)-1+$C$15*$K$2</f>
        <v>8.0349060810735784E-2</v>
      </c>
      <c r="F97" s="60">
        <f>($B97/$D$15)^(1/$F$29)-1+$C$15*$K$2</f>
        <v>8.1353161828868092E-2</v>
      </c>
      <c r="H97" s="60"/>
      <c r="I97" s="60"/>
      <c r="J97" s="60"/>
      <c r="K97" s="60"/>
    </row>
    <row r="98" spans="1:11">
      <c r="A98" s="135"/>
      <c r="B98" s="61">
        <f>$E$15*$K$10</f>
        <v>14.46</v>
      </c>
      <c r="C98" s="60">
        <f>($B98/$D$15)^(1/$C$29)-1+$C$15*$K$2</f>
        <v>0.20116157292837078</v>
      </c>
      <c r="D98" s="60">
        <f>($B98/$D$15)^(1/$D$29)-1+$C$15*$K$2</f>
        <v>0.15260610756890325</v>
      </c>
      <c r="E98" s="60">
        <f>($B98/$D$15)^(1/$E$29)-1+$C$15*$K$2</f>
        <v>0.13244792186262366</v>
      </c>
      <c r="F98" s="60">
        <f>($B98/$D$15)^(1/$F$29)-1+$C$15*$K$2</f>
        <v>0.11757915520572493</v>
      </c>
    </row>
    <row r="99" spans="1:11">
      <c r="B99" s="61"/>
      <c r="C99" s="60"/>
      <c r="D99" s="60"/>
      <c r="E99" s="60"/>
      <c r="F99" s="60"/>
    </row>
    <row r="100" spans="1:11">
      <c r="A100" s="136" t="s">
        <v>7381</v>
      </c>
      <c r="B100" s="136">
        <v>1</v>
      </c>
      <c r="C100" s="60">
        <f t="shared" ref="C100:F103" si="6">$L$4</f>
        <v>6.5000000000000002E-2</v>
      </c>
      <c r="D100" s="60">
        <f t="shared" si="6"/>
        <v>6.5000000000000002E-2</v>
      </c>
      <c r="E100" s="60">
        <f t="shared" si="6"/>
        <v>6.5000000000000002E-2</v>
      </c>
      <c r="F100" s="60">
        <f t="shared" si="6"/>
        <v>6.5000000000000002E-2</v>
      </c>
    </row>
    <row r="101" spans="1:11">
      <c r="A101" s="135">
        <f>B16</f>
        <v>1.6E-2</v>
      </c>
      <c r="B101" s="136">
        <v>1</v>
      </c>
      <c r="C101" s="60">
        <f t="shared" si="6"/>
        <v>6.5000000000000002E-2</v>
      </c>
      <c r="D101" s="60">
        <f t="shared" si="6"/>
        <v>6.5000000000000002E-2</v>
      </c>
      <c r="E101" s="60">
        <f t="shared" si="6"/>
        <v>6.5000000000000002E-2</v>
      </c>
      <c r="F101" s="60">
        <f t="shared" si="6"/>
        <v>6.5000000000000002E-2</v>
      </c>
    </row>
    <row r="102" spans="1:11">
      <c r="A102" s="135" t="s">
        <v>7612</v>
      </c>
      <c r="B102" s="136">
        <v>1</v>
      </c>
      <c r="C102" s="60">
        <f t="shared" si="6"/>
        <v>6.5000000000000002E-2</v>
      </c>
      <c r="D102" s="60">
        <f t="shared" si="6"/>
        <v>6.5000000000000002E-2</v>
      </c>
      <c r="E102" s="60">
        <f t="shared" si="6"/>
        <v>6.5000000000000002E-2</v>
      </c>
      <c r="F102" s="60">
        <f t="shared" si="6"/>
        <v>6.5000000000000002E-2</v>
      </c>
    </row>
    <row r="103" spans="1:11">
      <c r="B103" s="136">
        <v>1</v>
      </c>
      <c r="C103" s="60">
        <f t="shared" si="6"/>
        <v>6.5000000000000002E-2</v>
      </c>
      <c r="D103" s="60">
        <f t="shared" si="6"/>
        <v>6.5000000000000002E-2</v>
      </c>
      <c r="E103" s="60">
        <f t="shared" si="6"/>
        <v>6.5000000000000002E-2</v>
      </c>
      <c r="F103" s="60">
        <f t="shared" si="6"/>
        <v>6.5000000000000002E-2</v>
      </c>
    </row>
    <row r="104" spans="1:11">
      <c r="C104" s="60"/>
      <c r="D104" s="60"/>
      <c r="E104" s="60"/>
      <c r="F104" s="60"/>
    </row>
    <row r="105" spans="1:11">
      <c r="A105" s="136" t="s">
        <v>119</v>
      </c>
      <c r="B105" s="61">
        <f>$E$17*$K$4</f>
        <v>7.4099999999999993</v>
      </c>
      <c r="C105" s="60">
        <f>($B105/$D$17)^(1/$C$29)-1+$C$17*$K$2</f>
        <v>-0.12661377044282376</v>
      </c>
      <c r="D105" s="60">
        <f>($B105/$D$17)^(1/$D$29)-1+$C$17*$K$2</f>
        <v>-4.9630053647295252E-2</v>
      </c>
      <c r="E105" s="60">
        <f>($B105/$D$17)^(1/$E$29)-1+$C$17*$K$2</f>
        <v>-1.4390851732858839E-2</v>
      </c>
      <c r="F105" s="60">
        <f>($B105/$D$17)^(1/$F$29)-1+$C$17*$K$2</f>
        <v>1.2971817397621072E-2</v>
      </c>
    </row>
    <row r="106" spans="1:11">
      <c r="A106" s="135">
        <f>B17</f>
        <v>2.0250000000000001E-2</v>
      </c>
      <c r="B106" s="61">
        <f>$E$17*$K$6</f>
        <v>12.35</v>
      </c>
      <c r="C106" s="60">
        <f t="shared" ref="C106:C108" si="7">($B106/$D$17)^(1/$C$29)-1+$C$17*$K$2</f>
        <v>2.0649139840570457E-2</v>
      </c>
      <c r="D106" s="60">
        <f t="shared" ref="D106:D108" si="8">($B106/$D$17)^(1/$D$29)-1+$C$17*$K$2</f>
        <v>4.3984201743381662E-2</v>
      </c>
      <c r="E106" s="60">
        <f t="shared" ref="E106:E108" si="9">($B106/$D$17)^(1/$E$29)-1+$C$17*$K$2</f>
        <v>5.416133645347096E-2</v>
      </c>
      <c r="F106" s="60">
        <f t="shared" ref="F106:F108" si="10">($B106/$D$17)^(1/$F$29)-1+$C$17*$K$2</f>
        <v>6.1864641218159905E-2</v>
      </c>
    </row>
    <row r="107" spans="1:11">
      <c r="A107" s="136" t="s">
        <v>7613</v>
      </c>
      <c r="B107" s="61">
        <f>$E$17*$K$8</f>
        <v>17.29</v>
      </c>
      <c r="C107" s="60">
        <f t="shared" si="7"/>
        <v>0.13228468031297888</v>
      </c>
      <c r="D107" s="60">
        <f t="shared" si="8"/>
        <v>0.11108216078548436</v>
      </c>
      <c r="E107" s="60">
        <f t="shared" si="9"/>
        <v>0.10212666090623632</v>
      </c>
      <c r="F107" s="60">
        <f t="shared" si="10"/>
        <v>9.5461122143648741E-2</v>
      </c>
    </row>
    <row r="108" spans="1:11">
      <c r="B108" s="61">
        <f>$E$17*$K$10</f>
        <v>24.7</v>
      </c>
      <c r="C108" s="60">
        <f t="shared" si="7"/>
        <v>0.26512369978121408</v>
      </c>
      <c r="D108" s="60">
        <f t="shared" si="8"/>
        <v>0.18731565239702272</v>
      </c>
      <c r="E108" s="60">
        <f t="shared" si="9"/>
        <v>0.15555332608157266</v>
      </c>
      <c r="F108" s="60">
        <f t="shared" si="10"/>
        <v>0.13233095678310655</v>
      </c>
    </row>
    <row r="109" spans="1:11">
      <c r="B109" s="61"/>
      <c r="C109" s="60"/>
      <c r="D109" s="60"/>
      <c r="E109" s="60"/>
      <c r="F109" s="60"/>
    </row>
    <row r="110" spans="1:11">
      <c r="A110" s="135" t="s">
        <v>7608</v>
      </c>
      <c r="B110" s="136">
        <v>1</v>
      </c>
      <c r="C110" s="60">
        <f t="shared" ref="C110:F113" si="11">$L$8</f>
        <v>0.04</v>
      </c>
      <c r="D110" s="60">
        <f t="shared" si="11"/>
        <v>0.04</v>
      </c>
      <c r="E110" s="60">
        <f t="shared" si="11"/>
        <v>0.04</v>
      </c>
      <c r="F110" s="60">
        <f t="shared" si="11"/>
        <v>0.04</v>
      </c>
    </row>
    <row r="111" spans="1:11">
      <c r="A111" s="135">
        <f>B18</f>
        <v>1.6E-2</v>
      </c>
      <c r="B111" s="136">
        <v>1</v>
      </c>
      <c r="C111" s="60">
        <f t="shared" si="11"/>
        <v>0.04</v>
      </c>
      <c r="D111" s="60">
        <f t="shared" si="11"/>
        <v>0.04</v>
      </c>
      <c r="E111" s="60">
        <f t="shared" si="11"/>
        <v>0.04</v>
      </c>
      <c r="F111" s="60">
        <f t="shared" si="11"/>
        <v>0.04</v>
      </c>
    </row>
    <row r="112" spans="1:11">
      <c r="A112" s="136" t="s">
        <v>7614</v>
      </c>
      <c r="B112" s="136">
        <v>1</v>
      </c>
      <c r="C112" s="60">
        <f t="shared" si="11"/>
        <v>0.04</v>
      </c>
      <c r="D112" s="60">
        <f t="shared" si="11"/>
        <v>0.04</v>
      </c>
      <c r="E112" s="60">
        <f t="shared" si="11"/>
        <v>0.04</v>
      </c>
      <c r="F112" s="60">
        <f t="shared" si="11"/>
        <v>0.04</v>
      </c>
    </row>
    <row r="113" spans="1:6">
      <c r="B113" s="136">
        <v>1</v>
      </c>
      <c r="C113" s="60">
        <f t="shared" si="11"/>
        <v>0.04</v>
      </c>
      <c r="D113" s="60">
        <f t="shared" si="11"/>
        <v>0.04</v>
      </c>
      <c r="E113" s="60">
        <f t="shared" si="11"/>
        <v>0.04</v>
      </c>
      <c r="F113" s="60">
        <f t="shared" si="11"/>
        <v>0.04</v>
      </c>
    </row>
    <row r="114" spans="1:6">
      <c r="A114" s="135"/>
      <c r="B114" s="61"/>
      <c r="C114" s="60"/>
      <c r="D114" s="60"/>
      <c r="E114" s="60"/>
      <c r="F114" s="60"/>
    </row>
    <row r="115" spans="1:6">
      <c r="A115" s="136" t="s">
        <v>7530</v>
      </c>
      <c r="B115" s="136">
        <v>1</v>
      </c>
      <c r="C115" s="60">
        <f t="shared" ref="C115:F118" si="12">$L$4</f>
        <v>6.5000000000000002E-2</v>
      </c>
      <c r="D115" s="60">
        <f t="shared" si="12"/>
        <v>6.5000000000000002E-2</v>
      </c>
      <c r="E115" s="60">
        <f t="shared" si="12"/>
        <v>6.5000000000000002E-2</v>
      </c>
      <c r="F115" s="60">
        <f t="shared" si="12"/>
        <v>6.5000000000000002E-2</v>
      </c>
    </row>
    <row r="116" spans="1:6">
      <c r="A116" s="135">
        <f>B19</f>
        <v>5.6000000000000001E-2</v>
      </c>
      <c r="B116" s="136">
        <v>1</v>
      </c>
      <c r="C116" s="60">
        <f t="shared" si="12"/>
        <v>6.5000000000000002E-2</v>
      </c>
      <c r="D116" s="60">
        <f t="shared" si="12"/>
        <v>6.5000000000000002E-2</v>
      </c>
      <c r="E116" s="60">
        <f t="shared" si="12"/>
        <v>6.5000000000000002E-2</v>
      </c>
      <c r="F116" s="60">
        <f t="shared" si="12"/>
        <v>6.5000000000000002E-2</v>
      </c>
    </row>
    <row r="117" spans="1:6">
      <c r="A117" s="136" t="s">
        <v>7612</v>
      </c>
      <c r="B117" s="136">
        <v>1</v>
      </c>
      <c r="C117" s="60">
        <f t="shared" si="12"/>
        <v>6.5000000000000002E-2</v>
      </c>
      <c r="D117" s="60">
        <f t="shared" si="12"/>
        <v>6.5000000000000002E-2</v>
      </c>
      <c r="E117" s="60">
        <f t="shared" si="12"/>
        <v>6.5000000000000002E-2</v>
      </c>
      <c r="F117" s="60">
        <f t="shared" si="12"/>
        <v>6.5000000000000002E-2</v>
      </c>
    </row>
    <row r="118" spans="1:6">
      <c r="A118" s="58"/>
      <c r="B118" s="136">
        <v>1</v>
      </c>
      <c r="C118" s="60">
        <f t="shared" si="12"/>
        <v>6.5000000000000002E-2</v>
      </c>
      <c r="D118" s="60">
        <f t="shared" si="12"/>
        <v>6.5000000000000002E-2</v>
      </c>
      <c r="E118" s="60">
        <f t="shared" si="12"/>
        <v>6.5000000000000002E-2</v>
      </c>
      <c r="F118" s="60">
        <f t="shared" si="12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6" t="s">
        <v>7532</v>
      </c>
      <c r="B120" s="136">
        <v>1</v>
      </c>
      <c r="C120" s="60">
        <f t="shared" ref="C120:F123" si="13">$L$2</f>
        <v>3.5000000000000003E-2</v>
      </c>
      <c r="D120" s="60">
        <f t="shared" si="13"/>
        <v>3.5000000000000003E-2</v>
      </c>
      <c r="E120" s="60">
        <f t="shared" si="13"/>
        <v>3.5000000000000003E-2</v>
      </c>
      <c r="F120" s="60">
        <f t="shared" si="13"/>
        <v>3.5000000000000003E-2</v>
      </c>
    </row>
    <row r="121" spans="1:6">
      <c r="A121" s="60">
        <f>B20</f>
        <v>6.4313999999999994E-3</v>
      </c>
      <c r="B121" s="136">
        <v>1</v>
      </c>
      <c r="C121" s="60">
        <f t="shared" si="13"/>
        <v>3.5000000000000003E-2</v>
      </c>
      <c r="D121" s="60">
        <f t="shared" si="13"/>
        <v>3.5000000000000003E-2</v>
      </c>
      <c r="E121" s="60">
        <f t="shared" si="13"/>
        <v>3.5000000000000003E-2</v>
      </c>
      <c r="F121" s="60">
        <f t="shared" si="13"/>
        <v>3.5000000000000003E-2</v>
      </c>
    </row>
    <row r="122" spans="1:6">
      <c r="A122" s="58" t="s">
        <v>7615</v>
      </c>
      <c r="B122" s="136">
        <v>1</v>
      </c>
      <c r="C122" s="60">
        <f t="shared" si="13"/>
        <v>3.5000000000000003E-2</v>
      </c>
      <c r="D122" s="60">
        <f t="shared" si="13"/>
        <v>3.5000000000000003E-2</v>
      </c>
      <c r="E122" s="60">
        <f t="shared" si="13"/>
        <v>3.5000000000000003E-2</v>
      </c>
      <c r="F122" s="60">
        <f t="shared" si="13"/>
        <v>3.5000000000000003E-2</v>
      </c>
    </row>
    <row r="123" spans="1:6">
      <c r="A123" s="58"/>
      <c r="B123" s="136">
        <v>1</v>
      </c>
      <c r="C123" s="60">
        <f t="shared" si="13"/>
        <v>3.5000000000000003E-2</v>
      </c>
      <c r="D123" s="60">
        <f t="shared" si="13"/>
        <v>3.5000000000000003E-2</v>
      </c>
      <c r="E123" s="60">
        <f t="shared" si="13"/>
        <v>3.5000000000000003E-2</v>
      </c>
      <c r="F123" s="60">
        <f t="shared" si="13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7535</v>
      </c>
      <c r="B125" s="136">
        <v>1</v>
      </c>
      <c r="C125" s="60">
        <f t="shared" ref="C125:F128" si="14">$L$2</f>
        <v>3.5000000000000003E-2</v>
      </c>
      <c r="D125" s="60">
        <f t="shared" si="14"/>
        <v>3.5000000000000003E-2</v>
      </c>
      <c r="E125" s="60">
        <f t="shared" si="14"/>
        <v>3.5000000000000003E-2</v>
      </c>
      <c r="F125" s="60">
        <f t="shared" si="14"/>
        <v>3.5000000000000003E-2</v>
      </c>
    </row>
    <row r="126" spans="1:6">
      <c r="A126" s="60">
        <f>B21</f>
        <v>0.14500599999999986</v>
      </c>
      <c r="B126" s="136">
        <v>1</v>
      </c>
      <c r="C126" s="60">
        <f t="shared" si="14"/>
        <v>3.5000000000000003E-2</v>
      </c>
      <c r="D126" s="60">
        <f t="shared" si="14"/>
        <v>3.5000000000000003E-2</v>
      </c>
      <c r="E126" s="60">
        <f t="shared" si="14"/>
        <v>3.5000000000000003E-2</v>
      </c>
      <c r="F126" s="60">
        <f t="shared" si="14"/>
        <v>3.5000000000000003E-2</v>
      </c>
    </row>
    <row r="127" spans="1:6">
      <c r="A127" s="58" t="s">
        <v>7616</v>
      </c>
      <c r="B127" s="136">
        <v>1</v>
      </c>
      <c r="C127" s="60">
        <f t="shared" si="14"/>
        <v>3.5000000000000003E-2</v>
      </c>
      <c r="D127" s="60">
        <f t="shared" si="14"/>
        <v>3.5000000000000003E-2</v>
      </c>
      <c r="E127" s="60">
        <f t="shared" si="14"/>
        <v>3.5000000000000003E-2</v>
      </c>
      <c r="F127" s="60">
        <f t="shared" si="14"/>
        <v>3.5000000000000003E-2</v>
      </c>
    </row>
    <row r="128" spans="1:6">
      <c r="A128" s="58"/>
      <c r="B128" s="136">
        <v>1</v>
      </c>
      <c r="C128" s="60">
        <f t="shared" si="14"/>
        <v>3.5000000000000003E-2</v>
      </c>
      <c r="D128" s="60">
        <f t="shared" si="14"/>
        <v>3.5000000000000003E-2</v>
      </c>
      <c r="E128" s="60">
        <f t="shared" si="14"/>
        <v>3.5000000000000003E-2</v>
      </c>
      <c r="F128" s="60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7365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4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4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4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4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4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4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4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4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7399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7400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7401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7402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7403</v>
      </c>
      <c r="C329" t="s">
        <v>7404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7405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7406</v>
      </c>
      <c r="C597" t="s">
        <v>7407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7408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7409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7410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7411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7412</v>
      </c>
      <c r="C731" t="s">
        <v>7413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7414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7415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7416</v>
      </c>
      <c r="C992" t="s">
        <v>7417</v>
      </c>
      <c r="D992" t="s">
        <v>899</v>
      </c>
      <c r="E992" t="s">
        <v>225</v>
      </c>
    </row>
    <row r="993" spans="1:5">
      <c r="A993">
        <v>991</v>
      </c>
      <c r="B993" t="s">
        <v>7418</v>
      </c>
      <c r="C993" t="s">
        <v>7419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7420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7421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7422</v>
      </c>
      <c r="C1216" t="s">
        <v>7423</v>
      </c>
      <c r="D1216" t="s">
        <v>899</v>
      </c>
      <c r="E1216" t="s">
        <v>225</v>
      </c>
    </row>
    <row r="1217" spans="1:5">
      <c r="A1217">
        <v>1215</v>
      </c>
      <c r="B1217" t="s">
        <v>7424</v>
      </c>
      <c r="C1217" t="s">
        <v>7425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7426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7427</v>
      </c>
      <c r="C1432" t="s">
        <v>7428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7429</v>
      </c>
      <c r="C1443" t="s">
        <v>7430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7431</v>
      </c>
      <c r="C1465" t="s">
        <v>7432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7433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7434</v>
      </c>
      <c r="C1503" t="s">
        <v>7435</v>
      </c>
      <c r="D1503" t="s">
        <v>899</v>
      </c>
      <c r="E1503" t="s">
        <v>225</v>
      </c>
    </row>
    <row r="1504" spans="1:5">
      <c r="A1504">
        <v>1502</v>
      </c>
      <c r="B1504" t="s">
        <v>7436</v>
      </c>
      <c r="C1504" t="s">
        <v>7437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7438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7439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7440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7441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7421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7442</v>
      </c>
      <c r="C1919" t="s">
        <v>7443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7444</v>
      </c>
      <c r="C1929" t="s">
        <v>7445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7446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7447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7448</v>
      </c>
      <c r="C2112" t="s">
        <v>7449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7450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7451</v>
      </c>
      <c r="C2422" t="s">
        <v>7452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7453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7454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7455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7456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7457</v>
      </c>
      <c r="C2543" t="s">
        <v>7458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7459</v>
      </c>
      <c r="C2625" t="s">
        <v>7460</v>
      </c>
      <c r="D2625" t="s">
        <v>2643</v>
      </c>
      <c r="E2625" t="s">
        <v>228</v>
      </c>
    </row>
    <row r="2626" spans="1:5">
      <c r="A2626">
        <v>2624</v>
      </c>
      <c r="B2626" t="s">
        <v>7461</v>
      </c>
      <c r="C2626" t="s">
        <v>7462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7463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7464</v>
      </c>
      <c r="C2754" t="s">
        <v>7465</v>
      </c>
      <c r="D2754" t="s">
        <v>2913</v>
      </c>
      <c r="E2754" t="s">
        <v>3820</v>
      </c>
    </row>
    <row r="2755" spans="1:5">
      <c r="A2755">
        <v>2753</v>
      </c>
      <c r="B2755" t="s">
        <v>7466</v>
      </c>
      <c r="C2755" t="s">
        <v>7467</v>
      </c>
      <c r="D2755" t="s">
        <v>2913</v>
      </c>
      <c r="E2755" t="s">
        <v>3820</v>
      </c>
    </row>
    <row r="2756" spans="1:5">
      <c r="A2756">
        <v>2754</v>
      </c>
      <c r="B2756" t="s">
        <v>7468</v>
      </c>
      <c r="C2756" t="s">
        <v>7469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7470</v>
      </c>
      <c r="C2793" t="s">
        <v>7471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7472</v>
      </c>
      <c r="C2801" t="s">
        <v>7473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7474</v>
      </c>
      <c r="C2815" t="s">
        <v>7475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7476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7477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7478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7479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7480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7481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7482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7483</v>
      </c>
      <c r="C3260" t="s">
        <v>7484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7485</v>
      </c>
      <c r="C3285" t="s">
        <v>7486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7426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7487</v>
      </c>
      <c r="C3374" t="s">
        <v>7488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7489</v>
      </c>
      <c r="C3396" t="s">
        <v>7490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7491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7492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7481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7493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2019-03-27T00:51:38Z</dcterms:modified>
</cp:coreProperties>
</file>