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3FF8A956-5926-4B87-B704-027D88F18453}" xr6:coauthVersionLast="36" xr6:coauthVersionMax="36" xr10:uidLastSave="{00000000-0000-0000-0000-000000000000}"/>
  <bookViews>
    <workbookView xWindow="0" yWindow="465" windowWidth="28800" windowHeight="16665" activeTab="1" xr2:uid="{00000000-000D-0000-FFFF-FFFF00000000}"/>
  </bookViews>
  <sheets>
    <sheet name="已投部分年化收益率" sheetId="1" r:id="rId1"/>
    <sheet name="资产配置三维饼图" sheetId="11" r:id="rId2"/>
    <sheet name="资产配置表" sheetId="4" r:id="rId3"/>
    <sheet name="ETF计划成本计算" sheetId="5" r:id="rId4"/>
    <sheet name="空间压力测试" sheetId="10" r:id="rId5"/>
    <sheet name="时间压力测试" sheetId="7" r:id="rId6"/>
    <sheet name="组合权益类行业占比" sheetId="8" r:id="rId7"/>
    <sheet name="聚宽行业分类" sheetId="9" r:id="rId8"/>
  </sheets>
  <definedNames>
    <definedName name="_xlnm._FilterDatabase" localSheetId="0" hidden="1">已投部分年化收益率!$A$1:$W$119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1" l="1"/>
  <c r="J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M2" i="11"/>
  <c r="J2" i="11"/>
  <c r="J3" i="11"/>
  <c r="J4" i="11"/>
  <c r="J5" i="11"/>
  <c r="G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G21" i="11"/>
  <c r="J21" i="11"/>
  <c r="J22" i="11"/>
  <c r="G23" i="11"/>
  <c r="J23" i="11"/>
  <c r="G24" i="11"/>
  <c r="J24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J26" i="11"/>
  <c r="K25" i="11"/>
  <c r="K83" i="1"/>
  <c r="J83" i="1"/>
  <c r="K80" i="1"/>
  <c r="J80" i="1"/>
  <c r="K73" i="1"/>
  <c r="J73" i="1"/>
  <c r="Q4" i="1"/>
  <c r="Q5" i="1"/>
  <c r="Q6" i="1"/>
  <c r="Q7" i="1"/>
  <c r="S4" i="1"/>
  <c r="S5" i="1"/>
  <c r="S6" i="1"/>
  <c r="M143" i="1"/>
  <c r="M147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K11" authorId="0" shapeId="0" xr:uid="{00000000-0006-0000-05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M11" authorId="1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<sst xmlns="http://schemas.openxmlformats.org/spreadsheetml/2006/main" count="15696" uniqueCount="7601">
  <si>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</si>
  <si>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</si>
  <si>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</si>
  <si>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</si>
  <si>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</si>
  <si>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</si>
  <si>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</si>
  <si>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</si>
  <si>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</si>
  <si>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</si>
  <si>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</si>
  <si>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</si>
  <si>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</si>
  <si>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</si>
  <si>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</si>
  <si>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</si>
  <si>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</si>
  <si>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</si>
  <si>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</si>
  <si>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</si>
  <si>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</si>
  <si>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</si>
  <si>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</si>
  <si>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</si>
  <si>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</si>
  <si>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</si>
  <si>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</si>
  <si>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</si>
  <si>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</si>
  <si>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</si>
  <si>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</si>
  <si>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</si>
  <si>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</si>
  <si>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</si>
  <si>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</si>
  <si>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</si>
  <si>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</si>
  <si>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</si>
  <si>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</si>
  <si>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</si>
  <si>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</si>
  <si>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</si>
  <si>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</si>
  <si>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</si>
  <si>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</si>
  <si>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</si>
  <si>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</si>
  <si>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</si>
  <si>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</si>
  <si>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</si>
  <si>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</si>
  <si>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</si>
  <si>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</si>
  <si>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</si>
  <si>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</si>
  <si>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</si>
  <si>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</si>
  <si>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</si>
  <si>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</si>
  <si>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</si>
  <si>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</si>
  <si>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</si>
  <si>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</si>
  <si>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</si>
  <si>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</si>
  <si>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</si>
  <si>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</si>
  <si>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</si>
  <si>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</si>
  <si>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</si>
  <si>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</si>
  <si>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</si>
  <si>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</si>
  <si>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</si>
  <si>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</si>
  <si>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</si>
  <si>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</si>
  <si>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</si>
  <si>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</si>
  <si>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</si>
  <si>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</si>
  <si>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</si>
  <si>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</si>
  <si>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</si>
  <si>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</si>
  <si>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</si>
  <si>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</si>
  <si>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</si>
  <si>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</si>
  <si>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</si>
  <si>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</si>
  <si>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</si>
  <si>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</si>
  <si>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</si>
  <si>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</si>
  <si>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</si>
  <si>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</si>
  <si>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</si>
  <si>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</si>
  <si>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</si>
  <si>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</si>
  <si>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</si>
  <si>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</si>
  <si>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</si>
  <si>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</si>
  <si>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</si>
  <si>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</si>
  <si>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</si>
  <si>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</si>
  <si>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</si>
  <si>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</si>
  <si>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</si>
  <si>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</si>
  <si>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</si>
  <si>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</si>
  <si>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</si>
  <si>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</si>
  <si>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</si>
  <si>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</si>
  <si>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</si>
  <si>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</si>
  <si>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</si>
  <si>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</si>
  <si>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</si>
  <si>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</si>
  <si>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</si>
  <si>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</si>
  <si>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</si>
  <si>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</si>
  <si>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</si>
  <si>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</si>
  <si>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</si>
  <si>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</si>
  <si>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</si>
  <si>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</si>
  <si>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</si>
  <si>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</si>
  <si>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</si>
  <si>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</si>
  <si>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</si>
  <si>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</si>
  <si>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</si>
  <si>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</si>
  <si>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</si>
  <si>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</si>
  <si>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</si>
  <si>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</si>
  <si>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</si>
  <si>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</si>
  <si>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</si>
  <si>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</si>
  <si>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</si>
  <si>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</si>
  <si>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</si>
  <si>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</si>
  <si>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</si>
  <si>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</si>
  <si>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</si>
  <si>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</si>
  <si>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</si>
  <si>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</si>
  <si>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</si>
  <si>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</si>
  <si>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</si>
  <si>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</si>
  <si>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</si>
  <si>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</si>
  <si>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</si>
  <si>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</si>
  <si>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</si>
  <si>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</si>
  <si>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</si>
  <si>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</si>
  <si>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</si>
  <si>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</si>
  <si>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</si>
  <si>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</si>
  <si>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</si>
  <si>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</si>
  <si>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</si>
  <si>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</si>
  <si>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</si>
  <si>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</si>
  <si>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</si>
  <si>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</si>
  <si>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</si>
  <si>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</si>
  <si>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</si>
  <si>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</si>
  <si>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</si>
  <si>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</si>
  <si>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</si>
  <si>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</si>
  <si>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</si>
  <si>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</si>
  <si>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</si>
  <si>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</si>
  <si>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</si>
  <si>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</si>
  <si>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</si>
  <si>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</si>
  <si>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</si>
  <si>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</si>
  <si>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</si>
  <si>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</si>
  <si>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</si>
  <si>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</si>
  <si>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</si>
  <si>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</si>
  <si>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</si>
  <si>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</si>
  <si>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</si>
  <si>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</si>
  <si>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</si>
  <si>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</si>
  <si>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</si>
  <si>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</si>
  <si>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</si>
  <si>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</si>
  <si>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</si>
  <si>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</si>
  <si>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</si>
  <si>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</si>
  <si>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</si>
  <si>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</si>
  <si>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</si>
  <si>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</si>
  <si>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</si>
  <si>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</si>
  <si>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</si>
  <si>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</si>
  <si>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</si>
  <si>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</si>
  <si>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</si>
  <si>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</si>
  <si>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</si>
  <si>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</si>
  <si>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</si>
  <si>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</si>
  <si>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</si>
  <si>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</si>
  <si>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</si>
  <si>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</si>
  <si>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</si>
  <si>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</si>
  <si>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</si>
  <si>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</si>
  <si>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</si>
  <si>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</si>
  <si>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</si>
  <si>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</si>
  <si>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</si>
  <si>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</si>
  <si>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</si>
  <si>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</si>
  <si>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</si>
  <si>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</si>
  <si>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</si>
  <si>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</si>
  <si>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</si>
  <si>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</si>
  <si>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</si>
  <si>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</si>
  <si>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</si>
  <si>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</si>
  <si>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</si>
  <si>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</si>
  <si>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</si>
  <si>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</si>
  <si>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</si>
  <si>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</si>
  <si>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</si>
  <si>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</si>
  <si>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</si>
  <si>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</si>
  <si>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</si>
  <si>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</si>
  <si>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</si>
  <si>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</si>
  <si>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</si>
  <si>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</si>
  <si>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</si>
  <si>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</si>
  <si>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</si>
  <si>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</si>
  <si>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</si>
  <si>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</si>
  <si>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</si>
  <si>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</si>
  <si>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</si>
  <si>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</si>
  <si>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</si>
  <si>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</si>
  <si>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</si>
  <si>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</si>
  <si>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</si>
  <si>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</si>
  <si>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</si>
  <si>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</si>
  <si>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</si>
  <si>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</si>
  <si>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</si>
  <si>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</si>
  <si>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</si>
  <si>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</si>
  <si>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</si>
  <si>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</si>
  <si>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</si>
  <si>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</si>
  <si>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</si>
  <si>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</si>
  <si>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</si>
  <si>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</si>
  <si>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</si>
  <si>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</si>
  <si>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</si>
  <si>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</si>
  <si>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</si>
  <si>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</si>
  <si>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</si>
  <si>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</si>
  <si>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</si>
  <si>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</si>
  <si>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</si>
  <si>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</si>
  <si>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</si>
  <si>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</si>
  <si>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</si>
  <si>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</si>
  <si>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</si>
  <si>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</si>
  <si>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</si>
  <si>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</si>
  <si>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</si>
  <si>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</si>
  <si>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</si>
  <si>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</si>
  <si>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</si>
  <si>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</si>
  <si>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</si>
  <si>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</si>
  <si>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</si>
  <si>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</si>
  <si>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</si>
  <si>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</si>
  <si>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</si>
  <si>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</si>
  <si>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</si>
  <si>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</si>
  <si>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</si>
  <si>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</si>
  <si>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</si>
  <si>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</si>
  <si>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</si>
  <si>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</si>
  <si>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</si>
  <si>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</si>
  <si>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</si>
  <si>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</si>
  <si>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</si>
  <si>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</si>
  <si>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</si>
  <si>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</si>
  <si>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</si>
  <si>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</si>
  <si>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</si>
  <si>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</si>
  <si>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</si>
  <si>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</si>
  <si>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</si>
  <si>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</si>
  <si>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</si>
  <si>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</si>
  <si>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</si>
  <si>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</si>
  <si>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</si>
  <si>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</si>
  <si>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</si>
  <si>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</si>
  <si>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</si>
  <si>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</si>
  <si>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</si>
  <si>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</si>
  <si>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</si>
  <si>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</si>
  <si>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</si>
  <si>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</si>
  <si>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</si>
  <si>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</si>
  <si>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</si>
  <si>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</si>
  <si>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</si>
  <si>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</si>
  <si>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</si>
  <si>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</si>
  <si>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</si>
  <si>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</si>
  <si>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</si>
  <si>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</si>
  <si>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</si>
  <si>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</si>
  <si>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</si>
  <si>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</si>
  <si>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</si>
  <si>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</si>
  <si>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</si>
  <si>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</si>
  <si>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</si>
  <si>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</si>
  <si>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</si>
  <si>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</si>
  <si>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</si>
  <si>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</si>
  <si>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</si>
  <si>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</si>
  <si>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</si>
  <si>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</si>
  <si>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</si>
  <si>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</si>
  <si>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</si>
  <si>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</si>
  <si>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</si>
  <si>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</si>
  <si>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</si>
  <si>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</si>
  <si>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</si>
  <si>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</si>
  <si>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</si>
  <si>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</si>
  <si>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</si>
  <si>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</si>
  <si>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</si>
  <si>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</si>
  <si>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</si>
  <si>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</si>
  <si>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</si>
  <si>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</si>
  <si>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</si>
  <si>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</si>
  <si>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</si>
  <si>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</si>
  <si>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</si>
  <si>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</si>
  <si>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</si>
  <si>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</si>
  <si>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</si>
  <si>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</si>
  <si>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</si>
  <si>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</si>
  <si>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</si>
  <si>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</si>
  <si>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</si>
  <si>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</si>
  <si>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</si>
  <si>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</si>
  <si>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</si>
  <si>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</si>
  <si>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</si>
  <si>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</si>
  <si>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</si>
  <si>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</si>
  <si>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</si>
  <si>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</si>
  <si>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</si>
  <si>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</si>
  <si>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</si>
  <si>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</si>
  <si>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</si>
  <si>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</si>
  <si>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</si>
  <si>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</si>
  <si>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</si>
  <si>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</si>
  <si>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</si>
  <si>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</si>
  <si>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</si>
  <si>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</si>
  <si>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</si>
  <si>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</si>
  <si>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</si>
  <si>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</si>
  <si>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</si>
  <si>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</si>
  <si>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</si>
  <si>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</si>
  <si>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</si>
  <si>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</si>
  <si>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</si>
  <si>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</si>
  <si>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</si>
  <si>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</si>
  <si>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</si>
  <si>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</si>
  <si>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</si>
  <si>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</si>
  <si>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</si>
  <si>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</si>
  <si>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</si>
  <si>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</si>
  <si>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</si>
  <si>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</si>
  <si>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</si>
  <si>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</si>
  <si>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</si>
  <si>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</si>
  <si>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</si>
  <si>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</si>
  <si>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</si>
  <si>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</si>
  <si>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</si>
  <si>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</si>
  <si>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</si>
  <si>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</si>
  <si>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</si>
  <si>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</si>
  <si>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</si>
  <si>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</si>
  <si>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</si>
  <si>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</si>
  <si>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</si>
  <si>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</si>
  <si>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</si>
  <si>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</si>
  <si>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</si>
  <si>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</si>
  <si>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</si>
  <si>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</si>
  <si>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</si>
  <si>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</si>
  <si>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</si>
  <si>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</si>
  <si>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</si>
  <si>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</si>
  <si>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</si>
  <si>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</si>
  <si>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</si>
  <si>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</si>
  <si>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</si>
  <si>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</si>
  <si>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</si>
  <si>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</si>
  <si>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</si>
  <si>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</si>
  <si>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</si>
  <si>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</si>
  <si>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</si>
  <si>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</si>
  <si>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</si>
  <si>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</si>
  <si>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</si>
  <si>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</si>
  <si>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</si>
  <si>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</si>
  <si>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</si>
  <si>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</si>
  <si>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</si>
  <si>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</si>
  <si>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</si>
  <si>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</si>
  <si>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</si>
  <si>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</si>
  <si>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</si>
  <si>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</si>
  <si>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</si>
  <si>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</si>
  <si>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</si>
  <si>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</si>
  <si>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</si>
  <si>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</si>
  <si>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</si>
  <si>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</si>
  <si>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</si>
  <si>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</si>
  <si>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</si>
  <si>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</si>
  <si>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</si>
  <si>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</si>
  <si>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</si>
  <si>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</si>
  <si>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</si>
  <si>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</si>
  <si>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</si>
  <si>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</si>
  <si>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</si>
  <si>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</si>
  <si>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</si>
  <si>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</si>
  <si>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</si>
  <si>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</si>
  <si>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</si>
  <si>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</si>
  <si>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</si>
  <si>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</si>
  <si>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</si>
  <si>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</si>
  <si>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</si>
  <si>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</si>
  <si>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</si>
  <si>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</si>
  <si>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</si>
  <si>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</si>
  <si>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</si>
  <si>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</si>
  <si>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</si>
  <si>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</si>
  <si>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</si>
  <si>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</si>
  <si>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</si>
  <si>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</si>
  <si>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</si>
  <si>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</si>
  <si>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</si>
  <si>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</si>
  <si>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</si>
  <si>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</si>
  <si>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</si>
  <si>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</si>
  <si>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</si>
  <si>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</si>
  <si>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</si>
  <si>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</si>
  <si>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</si>
  <si>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</si>
  <si>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</si>
  <si>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</si>
  <si>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</si>
  <si>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</si>
  <si>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</si>
  <si>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</si>
  <si>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</si>
  <si>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</si>
  <si>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</si>
  <si>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</si>
  <si>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</si>
  <si>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</si>
  <si>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</si>
  <si>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</si>
  <si>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</si>
  <si>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</si>
  <si>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</si>
  <si>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</si>
  <si>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</si>
  <si>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</si>
  <si>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</si>
  <si>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</si>
  <si>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</si>
  <si>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</si>
  <si>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</si>
  <si>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</si>
  <si>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</si>
  <si>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</si>
  <si>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</si>
  <si>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</si>
  <si>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</si>
  <si>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</si>
  <si>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</si>
  <si>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</si>
  <si>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</si>
  <si>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</si>
  <si>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</si>
  <si>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</si>
  <si>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</si>
  <si>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</si>
  <si>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</si>
  <si>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</si>
  <si>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</si>
  <si>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</si>
  <si>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</si>
  <si>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</si>
  <si>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</si>
  <si>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</si>
  <si>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</si>
  <si>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</si>
  <si>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</si>
  <si>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</si>
  <si>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</si>
  <si>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</si>
  <si>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</si>
  <si>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</si>
  <si>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</si>
  <si>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</si>
  <si>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</si>
  <si>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</si>
  <si>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</si>
  <si>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</si>
  <si>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</si>
  <si>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</si>
  <si>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</si>
  <si>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</si>
  <si>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</si>
  <si>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</si>
  <si>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</si>
  <si>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</si>
  <si>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</si>
  <si>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</si>
  <si>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</si>
  <si>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</si>
  <si>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</si>
  <si>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</si>
  <si>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</si>
  <si>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</si>
  <si>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</si>
  <si>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</si>
  <si>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</si>
  <si>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</si>
  <si>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</si>
  <si>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</si>
  <si>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</si>
  <si>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</si>
  <si>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</si>
  <si>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</si>
  <si>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</si>
  <si>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</si>
  <si>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</si>
  <si>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</si>
  <si>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</si>
  <si>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</si>
  <si>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</si>
  <si>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</si>
  <si>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</si>
  <si>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</si>
  <si>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</si>
  <si>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</si>
  <si>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</si>
  <si>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</si>
  <si>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</si>
  <si>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</si>
  <si>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</si>
  <si>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</si>
  <si>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</si>
  <si>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</si>
  <si>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</si>
  <si>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</si>
  <si>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</si>
  <si>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</si>
  <si>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</si>
  <si>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</si>
  <si>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</si>
  <si>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</si>
  <si>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</si>
  <si>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</si>
  <si>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</si>
  <si>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</si>
  <si>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</si>
  <si>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</si>
  <si>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</si>
  <si>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</si>
  <si>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</si>
  <si>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</si>
  <si>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</si>
  <si>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</si>
  <si>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</si>
  <si>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</si>
  <si>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</si>
  <si>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</si>
  <si>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</si>
  <si>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</si>
  <si>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</si>
  <si>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</si>
  <si>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</si>
  <si>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</si>
  <si>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</si>
  <si>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</si>
  <si>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</si>
  <si>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</si>
  <si>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</si>
  <si>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</si>
  <si>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</si>
  <si>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</si>
  <si>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</si>
  <si>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</si>
  <si>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</si>
  <si>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</si>
  <si>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</si>
  <si>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</si>
  <si>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</si>
  <si>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</si>
  <si>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</si>
  <si>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</si>
  <si>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</si>
  <si>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</si>
  <si>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</si>
  <si>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</si>
  <si>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</si>
  <si>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</si>
  <si>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</si>
  <si>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</si>
  <si>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</si>
  <si>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</si>
  <si>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</si>
  <si>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</si>
  <si>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</si>
  <si>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</si>
  <si>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</si>
  <si>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</si>
  <si>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</si>
  <si>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</si>
  <si>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</si>
  <si>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</si>
  <si>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</si>
  <si>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</si>
  <si>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</si>
  <si>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</si>
  <si>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</si>
  <si>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</si>
  <si>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</si>
  <si>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</si>
  <si>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</si>
  <si>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</si>
  <si>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</si>
  <si>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</si>
  <si>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</si>
  <si>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</si>
  <si>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</si>
  <si>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</si>
  <si>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</si>
  <si>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</si>
  <si>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</si>
  <si>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</si>
  <si>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</si>
  <si>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</si>
  <si>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</si>
  <si>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</si>
  <si>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</si>
  <si>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</si>
  <si>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</si>
  <si>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</si>
  <si>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</si>
  <si>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</si>
  <si>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</si>
  <si>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</si>
  <si>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</si>
  <si>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</si>
  <si>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</si>
  <si>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</si>
  <si>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</si>
  <si>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</si>
  <si>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</si>
  <si>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</si>
  <si>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</si>
  <si>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</si>
  <si>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</si>
  <si>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</si>
  <si>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</si>
  <si>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</si>
  <si>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</si>
  <si>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</si>
  <si>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</si>
  <si>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</si>
  <si>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</si>
  <si>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</si>
  <si>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</si>
  <si>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</si>
  <si>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</si>
  <si>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</si>
  <si>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</si>
  <si>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</si>
  <si>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</si>
  <si>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</si>
  <si>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</si>
  <si>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</si>
  <si>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</si>
  <si>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</si>
  <si>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</si>
  <si>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</si>
  <si>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</si>
  <si>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</si>
  <si>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</si>
  <si>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</si>
  <si>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</si>
  <si>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</si>
  <si>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</si>
  <si>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</si>
  <si>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</si>
  <si>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</si>
  <si>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</si>
  <si>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</si>
  <si>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</si>
  <si>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</si>
  <si>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</si>
  <si>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</si>
  <si>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</si>
  <si>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</si>
  <si>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</si>
  <si>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</si>
  <si>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</si>
  <si>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</si>
  <si>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</si>
  <si>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</si>
  <si>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</si>
  <si>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</si>
  <si>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</si>
  <si>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</si>
  <si>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</si>
  <si>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</si>
  <si>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</si>
  <si>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</si>
  <si>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</si>
  <si>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</si>
  <si>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</si>
  <si>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</si>
  <si>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</si>
  <si>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</si>
  <si>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</si>
  <si>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</si>
  <si>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</si>
  <si>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</si>
  <si>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</si>
  <si>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</si>
  <si>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</si>
  <si>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</si>
  <si>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</si>
  <si>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</si>
  <si>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</si>
  <si>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</si>
  <si>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</si>
  <si>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</si>
  <si>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</si>
  <si>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</si>
  <si>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</si>
  <si>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</si>
  <si>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</si>
  <si>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</si>
  <si>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</si>
  <si>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</si>
  <si>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</si>
  <si>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</si>
  <si>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</si>
  <si>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</si>
  <si>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</si>
  <si>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</si>
  <si>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</si>
  <si>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</si>
  <si>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</si>
  <si>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</si>
  <si>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</si>
  <si>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</si>
  <si>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</si>
  <si>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</si>
  <si>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</si>
  <si>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</si>
  <si>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</si>
  <si>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</si>
  <si>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</si>
  <si>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</si>
  <si>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</si>
  <si>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</si>
  <si>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</si>
  <si>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</si>
  <si>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</si>
  <si>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</si>
  <si>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</si>
  <si>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</si>
  <si>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</si>
  <si>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</si>
  <si>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</si>
  <si>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</si>
  <si>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</si>
  <si>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</si>
  <si>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</si>
  <si>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</si>
  <si>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</si>
  <si>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</si>
  <si>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</si>
  <si>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</si>
  <si>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</si>
  <si>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</si>
  <si>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</si>
  <si>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</si>
  <si>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</si>
  <si>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</si>
  <si>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</si>
  <si>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</si>
  <si>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</si>
  <si>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</si>
  <si>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</si>
  <si>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</si>
  <si>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</si>
  <si>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</si>
  <si>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</si>
  <si>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</si>
  <si>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</si>
  <si>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</si>
  <si>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</si>
  <si>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</si>
  <si>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</si>
  <si>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</si>
  <si>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</si>
  <si>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</si>
  <si>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</si>
  <si>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</si>
  <si>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</si>
  <si>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</si>
  <si>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</si>
  <si>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</si>
  <si>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</si>
  <si>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</si>
  <si>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</si>
  <si>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</si>
  <si>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</si>
  <si>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</si>
  <si>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</si>
  <si>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</si>
  <si>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</si>
  <si>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</si>
  <si>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</si>
  <si>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</si>
  <si>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</si>
  <si>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</si>
  <si>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</si>
  <si>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</si>
  <si>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</si>
  <si>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</si>
  <si>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</si>
  <si>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</si>
  <si>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</si>
  <si>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</si>
  <si>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</si>
  <si>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</si>
  <si>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</si>
  <si>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</si>
  <si>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</si>
  <si>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</si>
  <si>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</si>
  <si>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</si>
  <si>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</si>
  <si>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</si>
  <si>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</si>
  <si>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</si>
  <si>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</si>
  <si>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</si>
  <si>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</si>
  <si>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</si>
  <si>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</si>
  <si>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</si>
  <si>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</si>
  <si>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</si>
  <si>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</si>
  <si>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</si>
  <si>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</si>
  <si>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</si>
  <si>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</si>
  <si>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</si>
  <si>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</si>
  <si>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</si>
  <si>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</si>
  <si>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</si>
  <si>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</si>
  <si>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</si>
  <si>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</si>
  <si>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</si>
  <si>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</si>
  <si>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</si>
  <si>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</si>
  <si>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</si>
  <si>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</si>
  <si>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</si>
  <si>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</si>
  <si>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</si>
  <si>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</si>
  <si>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</si>
  <si>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</si>
  <si>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</si>
  <si>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</si>
  <si>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</si>
  <si>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</si>
  <si>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</si>
  <si>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</si>
  <si>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</si>
  <si>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</si>
  <si>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</si>
  <si>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</si>
  <si>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</si>
  <si>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</si>
  <si>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</si>
  <si>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</si>
  <si>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</si>
  <si>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</si>
  <si>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</si>
  <si>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</si>
  <si>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</si>
  <si>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</si>
  <si>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</si>
  <si>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</si>
  <si>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</si>
  <si>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</si>
  <si>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</si>
  <si>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</si>
  <si>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</si>
  <si>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</si>
  <si>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</si>
  <si>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</si>
  <si>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</si>
  <si>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</si>
  <si>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</si>
  <si>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</si>
  <si>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</si>
  <si>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</si>
  <si>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</si>
  <si>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</si>
  <si>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</si>
  <si>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</si>
  <si>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</si>
  <si>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</si>
  <si>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</si>
  <si>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</si>
  <si>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</si>
  <si>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</si>
  <si>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</si>
  <si>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</si>
  <si>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</si>
  <si>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</si>
  <si>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</si>
  <si>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</si>
  <si>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</si>
  <si>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</si>
  <si>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</si>
  <si>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</si>
  <si>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</si>
  <si>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</si>
  <si>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</si>
  <si>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</si>
  <si>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</si>
  <si>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</si>
  <si>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</si>
  <si>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</si>
  <si>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</si>
  <si>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</si>
  <si>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</si>
  <si>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</si>
  <si>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</si>
  <si>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</si>
  <si>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</si>
  <si>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</si>
  <si>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</si>
  <si>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</si>
  <si>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</si>
  <si>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</si>
  <si>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</si>
  <si>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</si>
  <si>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</si>
  <si>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</si>
  <si>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</si>
  <si>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</si>
  <si>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</si>
  <si>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</si>
  <si>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</si>
  <si>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</si>
  <si>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</si>
  <si>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</si>
  <si>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</si>
  <si>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</si>
  <si>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</si>
  <si>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</si>
  <si>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</si>
  <si>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</si>
  <si>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</si>
  <si>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</si>
  <si>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</si>
  <si>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</si>
  <si>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</si>
  <si>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</si>
  <si>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</si>
  <si>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</si>
  <si>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</si>
  <si>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</si>
  <si>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</si>
  <si>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</si>
  <si>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</si>
  <si>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</si>
  <si>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</si>
  <si>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</si>
  <si>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</si>
  <si>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</si>
  <si>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</si>
  <si>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</si>
  <si>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</si>
  <si>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</si>
  <si>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</si>
  <si>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</si>
  <si>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</si>
  <si>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</si>
  <si>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</si>
  <si>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</si>
  <si>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</si>
  <si>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</si>
  <si>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</si>
  <si>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</si>
  <si>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</si>
  <si>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</si>
  <si>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</si>
  <si>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</si>
  <si>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</si>
  <si>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</si>
  <si>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</si>
  <si>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</si>
  <si>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</si>
  <si>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</si>
  <si>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</si>
  <si>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</si>
  <si>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</si>
  <si>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</si>
  <si>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</si>
  <si>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</si>
  <si>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</si>
  <si>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</si>
  <si>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</si>
  <si>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</si>
  <si>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</si>
  <si>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</si>
  <si>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</si>
  <si>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</si>
  <si>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</si>
  <si>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</si>
  <si>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</si>
  <si>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</si>
  <si>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</si>
  <si>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</si>
  <si>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</si>
  <si>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</si>
  <si>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</si>
  <si>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</si>
  <si>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</si>
  <si>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</si>
  <si>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</si>
  <si>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</si>
  <si>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</si>
  <si>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</si>
  <si>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</si>
  <si>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</si>
  <si>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</si>
  <si>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</si>
  <si>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</si>
  <si>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</si>
  <si>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</si>
  <si>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</si>
  <si>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</si>
  <si>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</si>
  <si>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</si>
  <si>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</si>
  <si>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</si>
  <si>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</si>
  <si>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</si>
  <si>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</si>
  <si>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</si>
  <si>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</si>
  <si>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</si>
  <si>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</si>
  <si>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</si>
  <si>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</si>
  <si>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</si>
  <si>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</si>
  <si>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</si>
  <si>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</si>
  <si>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</si>
  <si>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</si>
  <si>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</si>
  <si>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</si>
  <si>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</si>
  <si>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</si>
  <si>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</si>
  <si>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</si>
  <si>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</si>
  <si>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</si>
  <si>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</si>
  <si>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</si>
  <si>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</si>
  <si>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</si>
  <si>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</si>
  <si>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</si>
  <si>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</si>
  <si>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</si>
  <si>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</si>
  <si>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</si>
  <si>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</si>
  <si>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</si>
  <si>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</si>
  <si>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</si>
  <si>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</si>
  <si>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</si>
  <si>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</si>
  <si>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</si>
  <si>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</si>
  <si>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</si>
  <si>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</si>
  <si>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</si>
  <si>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</si>
  <si>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</si>
  <si>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</si>
  <si>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</si>
  <si>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</si>
  <si>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</si>
  <si>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</si>
  <si>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</si>
  <si>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</si>
  <si>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</si>
  <si>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</si>
  <si>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</si>
  <si>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</si>
  <si>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</si>
  <si>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</si>
  <si>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</si>
  <si>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</si>
  <si>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</si>
  <si>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</si>
  <si>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</si>
  <si>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</si>
  <si>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</si>
  <si>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</si>
  <si>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</si>
  <si>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</si>
  <si>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</si>
  <si>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</si>
  <si>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</si>
  <si>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</si>
  <si>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</si>
  <si>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</si>
  <si>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</si>
  <si>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</si>
  <si>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</si>
  <si>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</si>
  <si>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</si>
  <si>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</si>
  <si>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</si>
  <si>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</si>
  <si>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</si>
  <si>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</si>
  <si>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</si>
  <si>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</si>
  <si>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</si>
  <si>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</si>
  <si>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</si>
  <si>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</si>
  <si>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</si>
  <si>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</si>
  <si>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</si>
  <si>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</si>
  <si>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</si>
  <si>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</si>
  <si>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</si>
  <si>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</si>
  <si>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</si>
  <si>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</si>
  <si>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</si>
  <si>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</si>
  <si>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</si>
  <si>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</si>
  <si>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</si>
  <si>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</si>
  <si>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</si>
  <si>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</si>
  <si>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</si>
  <si>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</si>
  <si>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</si>
  <si>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</si>
  <si>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</si>
  <si>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</si>
  <si>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</si>
  <si>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</si>
  <si>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</si>
  <si>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</si>
  <si>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</si>
  <si>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</si>
  <si>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</si>
  <si>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</si>
  <si>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</si>
  <si>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</si>
  <si>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</si>
  <si>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</si>
  <si>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</si>
  <si>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</si>
  <si>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</si>
  <si>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</si>
  <si>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</si>
  <si>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</si>
  <si>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</si>
  <si>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</si>
  <si>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</si>
  <si>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</si>
  <si>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</si>
  <si>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</si>
  <si>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</si>
  <si>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</si>
  <si>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</si>
  <si>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</si>
  <si>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</si>
  <si>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</si>
  <si>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</si>
  <si>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</si>
  <si>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</si>
  <si>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</si>
  <si>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</si>
  <si>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</si>
  <si>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</si>
  <si>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</si>
  <si>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</si>
  <si>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</si>
  <si>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</si>
  <si>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</si>
  <si>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</si>
  <si>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</si>
  <si>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</si>
  <si>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</si>
  <si>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</si>
  <si>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</si>
  <si>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</si>
  <si>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</si>
  <si>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</si>
  <si>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</si>
  <si>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</si>
  <si>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</si>
  <si>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</si>
  <si>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</si>
  <si>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</si>
  <si>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</si>
  <si>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</si>
  <si>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</si>
  <si>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</si>
  <si>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</si>
  <si>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</si>
  <si>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</si>
  <si>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</si>
  <si>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</si>
  <si>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</si>
  <si>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</si>
  <si>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</si>
  <si>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</si>
  <si>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</si>
  <si>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</si>
  <si>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</si>
  <si>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</si>
  <si>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</si>
  <si>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</si>
  <si>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</si>
  <si>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</si>
  <si>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</si>
  <si>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</si>
  <si>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</si>
  <si>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</si>
  <si>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</si>
  <si>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</si>
  <si>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</si>
  <si>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</si>
  <si>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</si>
  <si>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</si>
  <si>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</si>
  <si>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</si>
  <si>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</si>
  <si>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</si>
  <si>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</si>
  <si>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</si>
  <si>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</si>
  <si>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</si>
  <si>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</si>
  <si>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</si>
  <si>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</si>
  <si>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</si>
  <si>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</si>
  <si>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</si>
  <si>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</si>
  <si>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</si>
  <si>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</si>
  <si>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</si>
  <si>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</si>
  <si>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</si>
  <si>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</si>
  <si>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</si>
  <si>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</si>
  <si>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</si>
  <si>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</si>
  <si>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</si>
  <si>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</si>
  <si>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</si>
  <si>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</si>
  <si>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</si>
  <si>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</si>
  <si>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</si>
  <si>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</si>
  <si>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</si>
  <si>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</si>
  <si>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</si>
  <si>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</si>
  <si>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</si>
  <si>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</si>
  <si>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</si>
  <si>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</si>
  <si>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</si>
  <si>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</si>
  <si>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</si>
  <si>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</si>
  <si>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</si>
  <si>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</si>
  <si>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</si>
  <si>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</si>
  <si>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</si>
  <si>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</si>
  <si>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</si>
  <si>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</si>
  <si>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</si>
  <si>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</si>
  <si>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</si>
  <si>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</si>
  <si>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</si>
  <si>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</si>
  <si>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</si>
  <si>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</si>
  <si>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</si>
  <si>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</si>
  <si>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</si>
  <si>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</si>
  <si>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</si>
  <si>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</si>
  <si>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</si>
  <si>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</si>
  <si>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</si>
  <si>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</si>
  <si>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</si>
  <si>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</si>
  <si>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</si>
  <si>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</si>
  <si>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</si>
  <si>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</si>
  <si>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</si>
  <si>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</si>
  <si>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</si>
  <si>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</si>
  <si>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</si>
  <si>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</si>
  <si>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</si>
  <si>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</si>
  <si>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</si>
  <si>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</si>
  <si>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</si>
  <si>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</si>
  <si>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</si>
  <si>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</si>
  <si>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</si>
  <si>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</si>
  <si>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</si>
  <si>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</si>
  <si>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</si>
  <si>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</si>
  <si>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</si>
  <si>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</si>
  <si>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</si>
  <si>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</si>
  <si>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</si>
  <si>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</si>
  <si>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</si>
  <si>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</si>
  <si>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</si>
  <si>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</si>
  <si>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</si>
  <si>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</si>
  <si>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</si>
  <si>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</si>
  <si>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</si>
  <si>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</si>
  <si>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</si>
  <si>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</si>
  <si>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</si>
  <si>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</si>
  <si>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</si>
  <si>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</si>
  <si>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</si>
  <si>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</si>
  <si>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</si>
  <si>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</si>
  <si>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</si>
  <si>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</si>
  <si>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</si>
  <si>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</si>
  <si>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</si>
  <si>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</si>
  <si>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</si>
  <si>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</si>
  <si>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</si>
  <si>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</si>
  <si>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</si>
  <si>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</si>
  <si>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</si>
  <si>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</si>
  <si>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</si>
  <si>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</si>
  <si>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</si>
  <si>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</si>
  <si>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</si>
  <si>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</si>
  <si>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</si>
  <si>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</si>
  <si>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</si>
  <si>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</si>
  <si>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</si>
  <si>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</si>
  <si>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</si>
  <si>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</si>
  <si>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</si>
  <si>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</si>
  <si>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</si>
  <si>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</si>
  <si>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</si>
  <si>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</si>
  <si>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</si>
  <si>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</si>
  <si>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</si>
  <si>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</si>
  <si>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</si>
  <si>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</si>
  <si>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</si>
  <si>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</si>
  <si>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</si>
  <si>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</si>
  <si>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</si>
  <si>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</si>
  <si>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</si>
  <si>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</si>
  <si>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</si>
  <si>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</si>
  <si>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</si>
  <si>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</si>
  <si>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</si>
  <si>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</si>
  <si>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</si>
  <si>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</si>
  <si>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</si>
  <si>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</si>
  <si>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</si>
  <si>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</si>
  <si>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</si>
  <si>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</si>
  <si>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</si>
  <si>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</si>
  <si>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</si>
  <si>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</si>
  <si>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</si>
  <si>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</si>
  <si>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</si>
  <si>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</si>
  <si>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</si>
  <si>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</si>
  <si>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</si>
  <si>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</si>
  <si>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</si>
  <si>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</si>
  <si>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</si>
  <si>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</si>
  <si>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</si>
  <si>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</si>
  <si>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</si>
  <si>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</si>
  <si>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</si>
  <si>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</si>
  <si>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</si>
  <si>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</si>
  <si>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</si>
  <si>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</si>
  <si>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</si>
  <si>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</si>
  <si>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</si>
  <si>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</si>
  <si>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</si>
  <si>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</si>
  <si>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</si>
  <si>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</si>
  <si>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</si>
  <si>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</si>
  <si>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</si>
  <si>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</si>
  <si>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</si>
  <si>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</si>
  <si>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</si>
  <si>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</si>
  <si>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</si>
  <si>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</si>
  <si>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</si>
  <si>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</si>
  <si>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</si>
  <si>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</si>
  <si>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</si>
  <si>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</si>
  <si>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</si>
  <si>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</si>
  <si>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</si>
  <si>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</si>
  <si>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</si>
  <si>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</si>
  <si>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</si>
  <si>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</si>
  <si>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</si>
  <si>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</si>
  <si>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</si>
  <si>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</si>
  <si>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</si>
  <si>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</si>
  <si>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</si>
  <si>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</si>
  <si>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</si>
  <si>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</si>
  <si>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</si>
  <si>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</si>
  <si>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</si>
  <si>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</si>
  <si>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</si>
  <si>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</si>
  <si>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</si>
  <si>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</si>
  <si>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</si>
  <si>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</si>
  <si>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</si>
  <si>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</si>
  <si>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</si>
  <si>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</si>
  <si>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</si>
  <si>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</si>
  <si>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</si>
  <si>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</si>
  <si>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</si>
  <si>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</si>
  <si>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</si>
  <si>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</si>
  <si>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</si>
  <si>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</si>
  <si>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</si>
  <si>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</si>
  <si>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</si>
  <si>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</si>
  <si>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</si>
  <si>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</si>
  <si>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</si>
  <si>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</si>
  <si>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</si>
  <si>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</si>
  <si>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</si>
  <si>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</si>
  <si>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</si>
  <si>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</si>
  <si>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</si>
  <si>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</si>
  <si>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</si>
  <si>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</si>
  <si>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</si>
  <si>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</si>
  <si>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</si>
  <si>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</si>
  <si>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</si>
  <si>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</si>
  <si>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</si>
  <si>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</si>
  <si>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</si>
  <si>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</si>
  <si>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</si>
  <si>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</si>
  <si>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</si>
  <si>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</si>
  <si>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</si>
  <si>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</si>
  <si>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</si>
  <si>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</si>
  <si>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</si>
  <si>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</si>
  <si>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</si>
  <si>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</si>
  <si>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</si>
  <si>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</si>
  <si>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</si>
  <si>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</si>
  <si>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</si>
  <si>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</si>
  <si>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</si>
  <si>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</si>
  <si>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</si>
  <si>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</si>
  <si>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</si>
  <si>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</si>
  <si>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</si>
  <si>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</si>
  <si>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</si>
  <si>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</si>
  <si>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</si>
  <si>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</si>
  <si>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</si>
  <si>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</si>
  <si>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</si>
  <si>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</si>
  <si>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</si>
  <si>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</si>
  <si>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</si>
  <si>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</si>
  <si>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</si>
  <si>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</si>
  <si>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</si>
  <si>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</si>
  <si>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</si>
  <si>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</si>
  <si>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</si>
  <si>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</si>
  <si>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</si>
  <si>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</si>
  <si>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</si>
  <si>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</si>
  <si>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</si>
  <si>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</si>
  <si>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</si>
  <si>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</si>
  <si>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</si>
  <si>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</si>
  <si>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</si>
  <si>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</si>
  <si>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</si>
  <si>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</si>
  <si>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</si>
  <si>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</si>
  <si>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</si>
  <si>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</si>
  <si>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</si>
  <si>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</si>
  <si>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</si>
  <si>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</si>
  <si>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</si>
  <si>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</si>
  <si>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</si>
  <si>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</si>
  <si>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</si>
  <si>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</si>
  <si>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</si>
  <si>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</si>
  <si>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</si>
  <si>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</si>
  <si>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</si>
  <si>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</si>
  <si>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</si>
  <si>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</si>
  <si>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</si>
  <si>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</si>
  <si>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</si>
  <si>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</si>
  <si>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</si>
  <si>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</si>
  <si>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</si>
  <si>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</si>
  <si>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</si>
  <si>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</si>
  <si>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</si>
  <si>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</si>
  <si>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</si>
  <si>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</si>
  <si>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</si>
  <si>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</si>
  <si>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</si>
  <si>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</si>
  <si>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</si>
  <si>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</si>
  <si>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</si>
  <si>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</si>
  <si>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</si>
  <si>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</si>
  <si>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</si>
  <si>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</si>
  <si>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</si>
  <si>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</si>
  <si>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</si>
  <si>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</si>
  <si>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</si>
  <si>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</si>
  <si>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</si>
  <si>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</si>
  <si>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</si>
  <si>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</si>
  <si>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</si>
  <si>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</si>
  <si>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</si>
  <si>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</si>
  <si>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</si>
  <si>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</si>
  <si>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</si>
  <si>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</si>
  <si>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</si>
  <si>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</si>
  <si>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</si>
  <si>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</si>
  <si>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</si>
  <si>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</si>
  <si>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</si>
  <si>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</si>
  <si>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</si>
  <si>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</si>
  <si>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</si>
  <si>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</si>
  <si>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</si>
  <si>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</si>
  <si>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</si>
  <si>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</si>
  <si>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</si>
  <si>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</si>
  <si>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</si>
  <si>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</si>
  <si>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</si>
  <si>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</si>
  <si>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</si>
  <si>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</si>
  <si>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</si>
  <si>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</si>
  <si>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</si>
  <si>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</si>
  <si>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</si>
  <si>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</si>
  <si>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</si>
  <si>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</si>
  <si>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</si>
  <si>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</si>
  <si>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</si>
  <si>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</si>
  <si>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</si>
  <si>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</si>
  <si>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</si>
  <si>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</si>
  <si>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</si>
  <si>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</si>
  <si>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</si>
  <si>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</si>
  <si>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</si>
  <si>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</si>
  <si>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</si>
  <si>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</si>
  <si>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</si>
  <si>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</si>
  <si>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</si>
  <si>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</si>
  <si>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</si>
  <si>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</si>
  <si>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</si>
  <si>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</si>
  <si>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</si>
  <si>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</si>
  <si>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</si>
  <si>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</si>
  <si>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</si>
  <si>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</si>
  <si>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</si>
  <si>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</si>
  <si>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</si>
  <si>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</si>
  <si>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</si>
  <si>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</si>
  <si>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</si>
  <si>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</si>
  <si>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</si>
  <si>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</si>
  <si>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</si>
  <si>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</si>
  <si>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</si>
  <si>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</si>
  <si>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</si>
  <si>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</si>
  <si>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</si>
  <si>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</si>
  <si>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</si>
  <si>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</si>
  <si>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</si>
  <si>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</si>
  <si>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</si>
  <si>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</si>
  <si>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</si>
  <si>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</si>
  <si>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</si>
  <si>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</si>
  <si>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</si>
  <si>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</si>
  <si>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</si>
  <si>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</si>
  <si>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</si>
  <si>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</si>
  <si>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</si>
  <si>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</si>
  <si>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</si>
  <si>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</si>
  <si>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</si>
  <si>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</si>
  <si>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</si>
  <si>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</si>
  <si>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</si>
  <si>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</si>
  <si>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</si>
  <si>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</si>
  <si>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</si>
  <si>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</si>
  <si>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</si>
  <si>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</si>
  <si>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</si>
  <si>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</si>
  <si>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</si>
  <si>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</si>
  <si>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</si>
  <si>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</si>
  <si>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</si>
  <si>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</si>
  <si>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</si>
  <si>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</si>
  <si>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</si>
  <si>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</si>
  <si>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</si>
  <si>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</si>
  <si>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</si>
  <si>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</si>
  <si>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</si>
  <si>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</si>
  <si>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</si>
  <si>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</si>
  <si>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</si>
  <si>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</si>
  <si>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</si>
  <si>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</si>
  <si>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</si>
  <si>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</si>
  <si>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</si>
  <si>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</si>
  <si>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</si>
  <si>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</si>
  <si>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</si>
  <si>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</si>
  <si>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</si>
  <si>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</si>
  <si>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</si>
  <si>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</si>
  <si>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</si>
  <si>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</si>
  <si>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</si>
  <si>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</si>
  <si>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</si>
  <si>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</si>
  <si>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</si>
  <si>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</si>
  <si>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</si>
  <si>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</si>
  <si>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</si>
  <si>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</si>
  <si>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</si>
  <si>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</si>
  <si>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</si>
  <si>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</si>
  <si>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</si>
  <si>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</si>
  <si>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</si>
  <si>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</si>
  <si>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</si>
  <si>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</si>
  <si>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</si>
  <si>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</si>
  <si>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</si>
  <si>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</si>
  <si>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</si>
  <si>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</si>
  <si>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</si>
  <si>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</si>
  <si>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</si>
  <si>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</si>
  <si>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</si>
  <si>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</si>
  <si>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</si>
  <si>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</si>
  <si>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</si>
  <si>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</si>
  <si>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</si>
  <si>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</si>
  <si>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</si>
  <si>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</si>
  <si>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</si>
  <si>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</si>
  <si>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</si>
  <si>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</si>
  <si>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</si>
  <si>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</si>
  <si>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</si>
  <si>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</si>
  <si>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</si>
  <si>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</si>
  <si>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</si>
  <si>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</si>
  <si>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</si>
  <si>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</si>
  <si>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</si>
  <si>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</si>
  <si>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</si>
  <si>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</si>
  <si>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</si>
  <si>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</si>
  <si>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</si>
  <si>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</si>
  <si>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</si>
  <si>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</si>
  <si>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</si>
  <si>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</si>
  <si>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</si>
  <si>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</si>
  <si>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</si>
  <si>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</si>
  <si>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</si>
  <si>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</si>
  <si>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</si>
  <si>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</si>
  <si>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</si>
  <si>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</si>
  <si>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</si>
  <si>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</si>
  <si>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</si>
  <si>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</si>
  <si>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</si>
  <si>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</si>
  <si>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</si>
  <si>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</si>
  <si>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</si>
  <si>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</si>
  <si>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</si>
  <si>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</si>
  <si>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</si>
  <si>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</si>
  <si>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</si>
  <si>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</si>
  <si>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</si>
  <si>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</si>
  <si>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</si>
  <si>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</si>
  <si>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</si>
  <si>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</si>
  <si>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</si>
  <si>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</si>
  <si>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</si>
  <si>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</si>
  <si>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</si>
  <si>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</si>
  <si>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</si>
  <si>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</si>
  <si>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</si>
  <si>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</si>
  <si>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</si>
  <si>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</si>
  <si>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</si>
  <si>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</si>
  <si>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</si>
  <si>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</si>
  <si>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</si>
  <si>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</si>
  <si>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</si>
  <si>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</si>
  <si>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</si>
  <si>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</si>
  <si>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</si>
  <si>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</si>
  <si>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</si>
  <si>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</si>
  <si>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</si>
  <si>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</si>
  <si>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</si>
  <si>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</si>
  <si>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</si>
  <si>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</si>
  <si>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</si>
  <si>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</si>
  <si>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</si>
  <si>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</si>
  <si>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</si>
  <si>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</si>
  <si>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</si>
  <si>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</si>
  <si>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</si>
  <si>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</si>
  <si>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</si>
  <si>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</si>
  <si>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</si>
  <si>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</si>
  <si>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</si>
  <si>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</si>
  <si>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</si>
  <si>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</si>
  <si>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</si>
  <si>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</si>
  <si>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</si>
  <si>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</si>
  <si>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</si>
  <si>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</si>
  <si>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</si>
  <si>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</si>
  <si>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</si>
  <si>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</si>
  <si>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</si>
  <si>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</si>
  <si>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</si>
  <si>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</si>
  <si>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</si>
  <si>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</si>
  <si>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</si>
  <si>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</si>
  <si>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</si>
  <si>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</si>
  <si>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</si>
  <si>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</si>
  <si>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</si>
  <si>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</si>
  <si>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</si>
  <si>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</si>
  <si>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</si>
  <si>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</si>
  <si>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</si>
  <si>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</si>
  <si>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</si>
  <si>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</si>
  <si>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</si>
  <si>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</si>
  <si>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</si>
  <si>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</si>
  <si>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</si>
  <si>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</si>
  <si>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</si>
  <si>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</si>
  <si>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</si>
  <si>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</si>
  <si>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</si>
  <si>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</si>
  <si>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</si>
  <si>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</si>
  <si>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</si>
  <si>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</si>
  <si>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</si>
  <si>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</si>
  <si>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</si>
  <si>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</si>
  <si>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</si>
  <si>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</si>
  <si>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</si>
  <si>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</si>
  <si>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</si>
  <si>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</si>
  <si>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</si>
  <si>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</si>
  <si>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</si>
  <si>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</si>
  <si>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</si>
  <si>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</si>
  <si>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</si>
  <si>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</si>
  <si>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</si>
  <si>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</si>
  <si>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</si>
  <si>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</si>
  <si>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</si>
  <si>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</si>
  <si>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</si>
  <si>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</si>
  <si>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</si>
  <si>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</si>
  <si>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</si>
  <si>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</si>
  <si>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</si>
  <si>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</si>
  <si>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</si>
  <si>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</si>
  <si>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</si>
  <si>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</si>
  <si>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</si>
  <si>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</si>
  <si>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</si>
  <si>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</si>
  <si>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</si>
  <si>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</si>
  <si>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</si>
  <si>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</si>
  <si>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</si>
  <si>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</si>
  <si>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</si>
  <si>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</si>
  <si>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</si>
  <si>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</si>
  <si>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</si>
  <si>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</si>
  <si>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</si>
  <si>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</si>
  <si>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</si>
  <si>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</si>
  <si>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</si>
  <si>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</si>
  <si>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</si>
  <si>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</si>
  <si>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</si>
  <si>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</si>
  <si>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</si>
  <si>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</si>
  <si>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</si>
  <si>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</si>
  <si>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</si>
  <si>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</si>
  <si>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</si>
  <si>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</si>
  <si>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</si>
  <si>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</si>
  <si>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</si>
  <si>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</si>
  <si>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</si>
  <si>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</si>
  <si>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</si>
  <si>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</si>
  <si>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</si>
  <si>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</si>
  <si>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</si>
  <si>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</si>
  <si>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</si>
  <si>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</si>
  <si>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</si>
  <si>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</si>
  <si>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</si>
  <si>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</si>
  <si>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</si>
  <si>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</si>
  <si>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</si>
  <si>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</si>
  <si>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</si>
  <si>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</si>
  <si>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</si>
  <si>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</si>
  <si>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</si>
  <si>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</si>
  <si>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</si>
  <si>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</si>
  <si>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</si>
  <si>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</si>
  <si>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</si>
  <si>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</si>
  <si>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</si>
  <si>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</si>
  <si>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</si>
  <si>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</si>
  <si>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</si>
  <si>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</si>
  <si>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</si>
  <si>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</si>
  <si>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</si>
  <si>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</si>
  <si>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</si>
  <si>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</si>
  <si>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</si>
  <si>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</si>
  <si>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</si>
  <si>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</si>
  <si>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</si>
  <si>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</si>
  <si>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</si>
  <si>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</si>
  <si>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</si>
  <si>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</si>
  <si>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</si>
  <si>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</si>
  <si>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</si>
  <si>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</si>
  <si>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</si>
  <si>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</si>
  <si>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</si>
  <si>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</si>
  <si>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</si>
  <si>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</si>
  <si>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</si>
  <si>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</si>
  <si>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</si>
  <si>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</si>
  <si>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</si>
  <si>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</si>
  <si>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</si>
  <si>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</si>
  <si>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</si>
  <si>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</si>
  <si>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</si>
  <si>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</si>
  <si>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</si>
  <si>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</si>
  <si>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</si>
  <si>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</si>
  <si>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</si>
  <si>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</si>
  <si>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</si>
  <si>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</si>
  <si>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</si>
  <si>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</si>
  <si>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</si>
  <si>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</si>
  <si>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</si>
  <si>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</si>
  <si>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</si>
  <si>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</si>
  <si>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</si>
  <si>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</si>
  <si>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</si>
  <si>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</si>
  <si>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</si>
  <si>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</si>
  <si>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</si>
  <si>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</si>
  <si>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</si>
  <si>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</si>
  <si>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</si>
  <si>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</si>
  <si>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</si>
  <si>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</si>
  <si>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</si>
  <si>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</si>
  <si>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</si>
  <si>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</si>
  <si>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</si>
  <si>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</si>
  <si>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</si>
  <si>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</si>
  <si>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</si>
  <si>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</si>
  <si>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</si>
  <si>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</si>
  <si>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</si>
  <si>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</si>
  <si>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</si>
  <si>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</si>
  <si>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</si>
  <si>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</si>
  <si>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</si>
  <si>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</si>
  <si>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</si>
  <si>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</si>
  <si>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</si>
  <si>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</si>
  <si>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</si>
  <si>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</si>
  <si>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</si>
  <si>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</si>
  <si>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</si>
  <si>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</si>
  <si>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</si>
  <si>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</si>
  <si>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</si>
  <si>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</si>
  <si>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</si>
  <si>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</si>
  <si>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</si>
  <si>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</si>
  <si>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</si>
  <si>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</si>
  <si>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</si>
  <si>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</si>
  <si>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</si>
  <si>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</si>
  <si>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</si>
  <si>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</si>
  <si>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</si>
  <si>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</si>
  <si>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</si>
  <si>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</si>
  <si>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</si>
  <si>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</si>
  <si>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</si>
  <si>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</si>
  <si>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</si>
  <si>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</si>
  <si>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</si>
  <si>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</si>
  <si>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</si>
  <si>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</si>
  <si>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</si>
  <si>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</si>
  <si>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</si>
  <si>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</si>
  <si>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</si>
  <si>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</si>
  <si>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</si>
  <si>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</si>
  <si>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</si>
  <si>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</si>
  <si>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</si>
  <si>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</si>
  <si>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</si>
  <si>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</si>
  <si>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</si>
  <si>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</si>
  <si>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</si>
  <si>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</si>
  <si>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</si>
  <si>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</si>
  <si>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</si>
  <si>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</si>
  <si>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</si>
  <si>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</si>
  <si>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</si>
  <si>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</si>
  <si>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</si>
  <si>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</si>
  <si>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</si>
  <si>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</si>
  <si>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</si>
  <si>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</si>
  <si>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</si>
  <si>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</si>
  <si>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</si>
  <si>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</si>
  <si>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</si>
  <si>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</si>
  <si>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</si>
  <si>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</si>
  <si>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</si>
  <si>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</si>
  <si>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</si>
  <si>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</si>
  <si>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</si>
  <si>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</si>
  <si>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</si>
  <si>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</si>
  <si>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</si>
  <si>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</si>
  <si>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</si>
  <si>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</si>
  <si>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</si>
  <si>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</si>
  <si>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</si>
  <si>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</si>
  <si>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</si>
  <si>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</si>
  <si>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</si>
  <si>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</si>
  <si>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</si>
  <si>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</si>
  <si>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</si>
  <si>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</si>
  <si>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</si>
  <si>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</si>
  <si>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</si>
  <si>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</si>
  <si>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</si>
  <si>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</si>
  <si>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</si>
  <si>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</si>
  <si>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</si>
  <si>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</si>
  <si>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</si>
  <si>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</si>
  <si>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</si>
  <si>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</si>
  <si>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</si>
  <si>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</si>
  <si>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</si>
  <si>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</si>
  <si>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</si>
  <si>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</si>
  <si>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</si>
  <si>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</si>
  <si>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</si>
  <si>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</si>
  <si>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</si>
  <si>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</si>
  <si>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</si>
  <si>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</si>
  <si>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</si>
  <si>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</si>
  <si>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</si>
  <si>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</si>
  <si>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</si>
  <si>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</si>
  <si>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</si>
  <si>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</si>
  <si>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</si>
  <si>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</si>
  <si>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</si>
  <si>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</si>
  <si>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</si>
  <si>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</si>
  <si>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</si>
  <si>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</si>
  <si>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</si>
  <si>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</si>
  <si>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</si>
  <si>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</si>
  <si>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</si>
  <si>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</si>
  <si>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</si>
  <si>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</si>
  <si>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</si>
  <si>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</si>
  <si>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</si>
  <si>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</si>
  <si>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</si>
  <si>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</si>
  <si>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</si>
  <si>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</si>
  <si>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</si>
  <si>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</si>
  <si>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</si>
  <si>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</si>
  <si>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</si>
  <si>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</si>
  <si>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</si>
  <si>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</si>
  <si>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</si>
  <si>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</si>
  <si>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</si>
  <si>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</si>
  <si>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</si>
  <si>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</si>
  <si>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</si>
  <si>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</si>
  <si>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</si>
  <si>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</si>
  <si>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</si>
  <si>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</si>
  <si>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</si>
  <si>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</si>
  <si>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</si>
  <si>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</si>
  <si>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</si>
  <si>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</si>
  <si>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</si>
  <si>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</si>
  <si>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</si>
  <si>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</si>
  <si>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</si>
  <si>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</si>
  <si>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</si>
  <si>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</si>
  <si>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</si>
  <si>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</si>
  <si>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</si>
  <si>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</si>
  <si>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</si>
  <si>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</si>
  <si>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</si>
  <si>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</si>
  <si>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</si>
  <si>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</si>
  <si>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</si>
  <si>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</si>
  <si>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</si>
  <si>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</si>
  <si>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</si>
  <si>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</si>
  <si>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</si>
  <si>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</si>
  <si>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</si>
  <si>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</si>
  <si>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</si>
  <si>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</si>
  <si>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</si>
  <si>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</si>
  <si>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</si>
  <si>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</si>
  <si>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</si>
  <si>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</si>
  <si>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</si>
  <si>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</si>
  <si>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</si>
  <si>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</si>
  <si>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</si>
  <si>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</si>
  <si>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</si>
  <si>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</si>
  <si>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</si>
  <si>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</si>
  <si>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</si>
  <si>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</si>
  <si>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</si>
  <si>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</si>
  <si>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</si>
  <si>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</si>
  <si>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</si>
  <si>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</si>
  <si>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</si>
  <si>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</si>
  <si>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</si>
  <si>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</si>
  <si>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</si>
  <si>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</si>
  <si>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</si>
  <si>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</si>
  <si>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</si>
  <si>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</si>
  <si>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</si>
  <si>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</si>
  <si>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</si>
  <si>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</si>
  <si>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</si>
  <si>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</si>
  <si>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</si>
  <si>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</si>
  <si>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</si>
  <si>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</si>
  <si>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</si>
  <si>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</si>
  <si>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</si>
  <si>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</si>
  <si>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</si>
  <si>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</si>
  <si>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</si>
  <si>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</si>
  <si>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</si>
  <si>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</si>
  <si>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</si>
  <si>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</si>
  <si>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</si>
  <si>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</si>
  <si>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</si>
  <si>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</si>
  <si>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</si>
  <si>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</si>
  <si>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</si>
  <si>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</si>
  <si>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</si>
  <si>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</si>
  <si>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</si>
  <si>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</si>
  <si>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</si>
  <si>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</si>
  <si>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</si>
  <si>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</si>
  <si>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</si>
  <si>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</si>
  <si>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</si>
  <si>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</si>
  <si>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</si>
  <si>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</si>
  <si>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</si>
  <si>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</si>
  <si>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</si>
  <si>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</si>
  <si>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</si>
  <si>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</si>
  <si>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</si>
  <si>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</si>
  <si>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</si>
  <si>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</si>
  <si>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</si>
  <si>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</si>
  <si>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</si>
  <si>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</si>
  <si>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</si>
  <si>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</si>
  <si>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</si>
  <si>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</si>
  <si>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</si>
  <si>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</si>
  <si>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</si>
  <si>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</si>
  <si>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</si>
  <si>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</si>
  <si>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</si>
  <si>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</si>
  <si>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</si>
  <si>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</si>
  <si>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</si>
  <si>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</si>
  <si>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</si>
  <si>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</si>
  <si>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</si>
  <si>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</si>
  <si>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</si>
  <si>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</si>
  <si>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</si>
  <si>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</si>
  <si>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</si>
  <si>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</si>
  <si>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</si>
  <si>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</si>
  <si>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</si>
  <si>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</si>
  <si>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</si>
  <si>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</si>
  <si>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</si>
  <si>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</si>
  <si>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</si>
  <si>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</si>
  <si>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</si>
  <si>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</si>
  <si>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</si>
  <si>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</si>
  <si>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</si>
  <si>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</si>
  <si>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</si>
  <si>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</si>
  <si>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</si>
  <si>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</si>
  <si>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</si>
  <si>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</si>
  <si>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</si>
  <si>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</si>
  <si>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</si>
  <si>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</si>
  <si>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</si>
  <si>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</si>
  <si>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</si>
  <si>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</si>
  <si>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</si>
  <si>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</si>
  <si>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</si>
  <si>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</si>
  <si>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</si>
  <si>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</si>
  <si>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</si>
  <si>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</si>
  <si>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</si>
  <si>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</si>
  <si>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</si>
  <si>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</si>
  <si>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</si>
  <si>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</si>
  <si>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</si>
  <si>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</si>
  <si>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</si>
  <si>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</si>
  <si>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</si>
  <si>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</si>
  <si>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</si>
  <si>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</si>
  <si>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</si>
  <si>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</si>
  <si>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</si>
  <si>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</si>
  <si>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</si>
  <si>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</si>
  <si>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</si>
  <si>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</si>
  <si>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</si>
  <si>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</si>
  <si>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</si>
  <si>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</si>
  <si>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</si>
  <si>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</si>
  <si>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</si>
  <si>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</si>
  <si>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</si>
  <si>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</si>
  <si>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</si>
  <si>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</si>
  <si>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</si>
  <si>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</si>
  <si>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</si>
  <si>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</si>
  <si>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</si>
  <si>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</si>
  <si>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</si>
  <si>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</si>
  <si>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</si>
  <si>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</si>
  <si>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</si>
  <si>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</si>
  <si>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</si>
  <si>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</si>
  <si>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</si>
  <si>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</si>
  <si>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</si>
  <si>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</si>
  <si>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</si>
  <si>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</si>
  <si>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</si>
  <si>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</si>
  <si>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</si>
  <si>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</si>
  <si>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</si>
  <si>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</si>
  <si>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</si>
  <si>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</si>
  <si>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</si>
  <si>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</si>
  <si>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</si>
  <si>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</si>
  <si>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</si>
  <si>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</si>
  <si>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</si>
  <si>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</si>
  <si>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</si>
  <si>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</si>
  <si>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</si>
  <si>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</si>
  <si>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</si>
  <si>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</si>
  <si>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</si>
  <si>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</si>
  <si>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</si>
  <si>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</si>
  <si>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</si>
  <si>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</si>
  <si>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</si>
  <si>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</si>
  <si>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</si>
  <si>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</si>
  <si>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</si>
  <si>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</si>
  <si>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</si>
  <si>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</si>
  <si>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</si>
  <si>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</si>
  <si>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</si>
  <si>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</si>
  <si>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</si>
  <si>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</si>
  <si>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</si>
  <si>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</si>
  <si>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</si>
  <si>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</si>
  <si>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</si>
  <si>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</si>
  <si>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</si>
  <si>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</si>
  <si>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</si>
  <si>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</si>
  <si>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</si>
  <si>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</si>
  <si>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</si>
  <si>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</si>
  <si>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</si>
  <si>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</si>
  <si>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</si>
  <si>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</si>
  <si>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</si>
  <si>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</si>
  <si>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</si>
  <si>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</si>
  <si>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</si>
  <si>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</si>
  <si>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</si>
  <si>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</si>
  <si>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</si>
  <si>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</si>
  <si>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</si>
  <si>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</si>
  <si>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</si>
  <si>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</si>
  <si>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</si>
  <si>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</si>
  <si>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</si>
  <si>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</si>
  <si>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</si>
  <si>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</si>
  <si>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</si>
  <si>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</si>
  <si>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</si>
  <si>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</si>
  <si>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</si>
  <si>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</si>
  <si>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</si>
  <si>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</si>
  <si>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</si>
  <si>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</si>
  <si>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</si>
  <si>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</si>
  <si>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</si>
  <si>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</si>
  <si>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</si>
  <si>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</si>
  <si>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</si>
  <si>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</si>
  <si>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</si>
  <si>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</si>
  <si>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</si>
  <si>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</si>
  <si>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</si>
  <si>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</si>
  <si>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</si>
  <si>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</si>
  <si>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</si>
  <si>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</si>
  <si>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</si>
  <si>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</si>
  <si>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</si>
  <si>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</si>
  <si>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</si>
  <si>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</si>
  <si>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</si>
  <si>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</si>
  <si>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</si>
  <si>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</si>
  <si>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</si>
  <si>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</si>
  <si>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</si>
  <si>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</si>
  <si>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</si>
  <si>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</si>
  <si>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</si>
  <si>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</si>
  <si>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</si>
  <si>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</si>
  <si>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</si>
  <si>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</si>
  <si>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</si>
  <si>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</si>
  <si>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</si>
  <si>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</si>
  <si>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</si>
  <si>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</si>
  <si>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</si>
  <si>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</si>
  <si>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</si>
  <si>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</si>
  <si>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</si>
  <si>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</si>
  <si>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</si>
  <si>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</si>
  <si>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</si>
  <si>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</si>
  <si>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</si>
  <si>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</si>
  <si>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</si>
  <si>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</si>
  <si>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</si>
  <si>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</si>
  <si>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</si>
  <si>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</si>
  <si>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</si>
  <si>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</si>
  <si>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</si>
  <si>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</si>
  <si>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</si>
  <si>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</si>
  <si>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</si>
  <si>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</si>
  <si>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</si>
  <si>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</si>
  <si>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</si>
  <si>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</si>
  <si>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</si>
  <si>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</si>
  <si>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</si>
  <si>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</si>
  <si>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</si>
  <si>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</si>
  <si>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</si>
  <si>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</si>
  <si>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</si>
  <si>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</si>
  <si>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</si>
  <si>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</si>
  <si>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</si>
  <si>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</si>
  <si>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</si>
  <si>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</si>
  <si>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</si>
  <si>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</si>
  <si>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</si>
  <si>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</si>
  <si>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</si>
  <si>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</si>
  <si>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</si>
  <si>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</si>
  <si>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</si>
  <si>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</si>
  <si>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</si>
  <si>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</si>
  <si>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</si>
  <si>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</si>
  <si>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</si>
  <si>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</si>
  <si>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</si>
  <si>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</si>
  <si>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</si>
  <si>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</si>
  <si>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</si>
  <si>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</si>
  <si>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</si>
  <si>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</si>
  <si>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</si>
  <si>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</si>
  <si>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</si>
  <si>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</si>
  <si>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</si>
  <si>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</si>
  <si>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</si>
  <si>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</si>
  <si>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</si>
  <si>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</si>
  <si>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</si>
  <si>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</si>
  <si>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</si>
  <si>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</si>
  <si>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</si>
  <si>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</si>
  <si>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</si>
  <si>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</si>
  <si>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</si>
  <si>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</si>
  <si>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</si>
  <si>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</si>
  <si>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</si>
  <si>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</si>
  <si>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</si>
  <si>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</si>
  <si>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</si>
  <si>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</si>
  <si>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</si>
  <si>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</si>
  <si>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</si>
  <si>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</si>
  <si>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</si>
  <si>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</si>
  <si>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</si>
  <si>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</si>
  <si>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</si>
  <si>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</si>
  <si>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</si>
  <si>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</si>
  <si>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</si>
  <si>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</si>
  <si>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</si>
  <si>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</si>
  <si>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</si>
  <si>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</si>
  <si>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</si>
  <si>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</si>
  <si>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</si>
  <si>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</si>
  <si>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</si>
  <si>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</si>
  <si>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</si>
  <si>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</si>
  <si>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</si>
  <si>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</si>
  <si>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</si>
  <si>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</si>
  <si>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</si>
  <si>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</si>
  <si>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</si>
  <si>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</si>
  <si>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</si>
  <si>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</si>
  <si>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</si>
  <si>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</si>
  <si>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</si>
  <si>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</si>
  <si>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</si>
  <si>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</si>
  <si>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</si>
  <si>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</si>
  <si>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</si>
  <si>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</si>
  <si>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</si>
  <si>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</si>
  <si>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</si>
  <si>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</si>
  <si>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</si>
  <si>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</si>
  <si>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</si>
  <si>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</si>
  <si>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</si>
  <si>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</si>
  <si>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</si>
  <si>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</si>
  <si>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</si>
  <si>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</si>
  <si>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</si>
  <si>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</si>
  <si>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</si>
  <si>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</si>
  <si>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</si>
  <si>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</si>
  <si>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</si>
  <si>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</si>
  <si>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</si>
  <si>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</si>
  <si>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</si>
  <si>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</si>
  <si>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</si>
  <si>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</si>
  <si>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</si>
  <si>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</si>
  <si>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</si>
  <si>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</si>
  <si>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</si>
  <si>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</si>
  <si>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</si>
  <si>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</si>
  <si>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</si>
  <si>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</si>
  <si>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</si>
  <si>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</si>
  <si>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</si>
  <si>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</si>
  <si>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</si>
  <si>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</si>
  <si>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</si>
  <si>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</si>
  <si>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</si>
  <si>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</si>
  <si>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</si>
  <si>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</si>
  <si>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</si>
  <si>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</si>
  <si>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</si>
  <si>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</si>
  <si>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</si>
  <si>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</si>
  <si>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</si>
  <si>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</si>
  <si>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</si>
  <si>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</si>
  <si>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</si>
  <si>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</si>
  <si>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</si>
  <si>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</si>
  <si>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</si>
  <si>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</si>
  <si>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</si>
  <si>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</si>
  <si>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</si>
  <si>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</si>
  <si>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</si>
  <si>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</si>
  <si>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</si>
  <si>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</si>
  <si>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</si>
  <si>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</si>
  <si>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</si>
  <si>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</si>
  <si>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</si>
  <si>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</si>
  <si>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</si>
  <si>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</si>
  <si>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</si>
  <si>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</si>
  <si>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</si>
  <si>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</si>
  <si>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</si>
  <si>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</si>
  <si>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</si>
  <si>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</si>
  <si>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</si>
  <si>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</si>
  <si>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</si>
  <si>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</si>
  <si>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</si>
  <si>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</si>
  <si>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</si>
  <si>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</si>
  <si>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</si>
  <si>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</si>
  <si>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</si>
  <si>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</si>
  <si>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</si>
  <si>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</si>
  <si>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</si>
  <si>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</si>
  <si>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</si>
  <si>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</si>
  <si>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</si>
  <si>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</si>
  <si>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</si>
  <si>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</si>
  <si>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</si>
  <si>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</si>
  <si>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</si>
  <si>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</si>
  <si>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</si>
  <si>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</si>
  <si>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</si>
  <si>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</si>
  <si>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</si>
  <si>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</si>
  <si>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</si>
  <si>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</si>
  <si>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</si>
  <si>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</si>
  <si>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</si>
  <si>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</si>
  <si>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</si>
  <si>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</si>
  <si>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</si>
  <si>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</si>
  <si>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</si>
  <si>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</si>
  <si>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</si>
  <si>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</si>
  <si>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</si>
  <si>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</si>
  <si>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</si>
  <si>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</si>
  <si>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</si>
  <si>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</si>
  <si>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</si>
  <si>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</si>
  <si>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</si>
  <si>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</si>
  <si>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</si>
  <si>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</si>
  <si>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</si>
  <si>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</si>
  <si>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</si>
  <si>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</si>
  <si>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</si>
  <si>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</si>
  <si>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</si>
  <si>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</si>
  <si>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</si>
  <si>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</si>
  <si>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</si>
  <si>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</si>
  <si>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</si>
  <si>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</si>
  <si>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</si>
  <si>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</si>
  <si>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</si>
  <si>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</si>
  <si>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</si>
  <si>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</si>
  <si>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</si>
  <si>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</si>
  <si>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</si>
  <si>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</si>
  <si>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</si>
  <si>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</si>
  <si>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</si>
  <si>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</si>
  <si>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</si>
  <si>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</si>
  <si>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</si>
  <si>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</si>
  <si>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</si>
  <si>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</si>
  <si>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</si>
  <si>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</si>
  <si>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</si>
  <si>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</si>
  <si>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</si>
  <si>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</si>
  <si>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</si>
  <si>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</si>
  <si>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</si>
  <si>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</si>
  <si>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</si>
  <si>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</si>
  <si>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</si>
  <si>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</si>
  <si>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</si>
  <si>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</si>
  <si>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</si>
  <si>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</si>
  <si>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</si>
  <si>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</si>
  <si>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</si>
  <si>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</si>
  <si>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</si>
  <si>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</si>
  <si>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</si>
  <si>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</si>
  <si>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</si>
  <si>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</si>
  <si>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</si>
  <si>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</si>
  <si>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</si>
  <si>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</si>
  <si>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</si>
  <si>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</si>
  <si>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</si>
  <si>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</si>
  <si>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</si>
  <si>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</si>
  <si>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</si>
  <si>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</si>
  <si>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</si>
  <si>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</si>
  <si>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</si>
  <si>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</si>
  <si>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</si>
  <si>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</si>
  <si>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</si>
  <si>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</si>
  <si>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</si>
  <si>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</si>
  <si>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</si>
  <si>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</si>
  <si>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</si>
  <si>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</si>
  <si>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</si>
  <si>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</si>
  <si>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</si>
  <si>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</si>
  <si>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</si>
  <si>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</si>
  <si>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</si>
  <si>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</si>
  <si>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</si>
  <si>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</si>
  <si>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</si>
  <si>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</si>
  <si>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</si>
  <si>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</si>
  <si>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</si>
  <si>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</si>
  <si>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</si>
  <si>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</si>
  <si>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</si>
  <si>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</si>
  <si>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</si>
  <si>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</si>
  <si>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</si>
  <si>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</si>
  <si>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</si>
  <si>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</si>
  <si>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</si>
  <si>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</si>
  <si>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</si>
  <si>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</si>
  <si>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</si>
  <si>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</si>
  <si>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</si>
  <si>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</si>
  <si>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</si>
  <si>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</si>
  <si>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</si>
  <si>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</si>
  <si>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</si>
  <si>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</si>
  <si>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</si>
  <si>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</si>
  <si>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</si>
  <si>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</si>
  <si>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</si>
  <si>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</si>
  <si>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</si>
  <si>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</si>
  <si>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</si>
  <si>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</si>
  <si>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</si>
  <si>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</si>
  <si>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</si>
  <si>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</si>
  <si>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</si>
  <si>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</si>
  <si>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</si>
  <si>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</si>
  <si>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</si>
  <si>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</si>
  <si>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</si>
  <si>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</si>
  <si>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</si>
  <si>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</si>
  <si>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</si>
  <si>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</si>
  <si>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</si>
  <si>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</si>
  <si>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</si>
  <si>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</si>
  <si>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</si>
  <si>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</si>
  <si>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</si>
  <si>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</si>
  <si>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</si>
  <si>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</si>
  <si>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</si>
  <si>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</si>
  <si>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</si>
  <si>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</si>
  <si>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</si>
  <si>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</si>
  <si>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</si>
  <si>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</si>
  <si>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</si>
  <si>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</si>
  <si>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</si>
  <si>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</si>
  <si>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</si>
  <si>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</si>
  <si>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</si>
  <si>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</si>
  <si>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</si>
  <si>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</si>
  <si>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</si>
  <si>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</si>
  <si>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</si>
  <si>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</si>
  <si>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</si>
  <si>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</si>
  <si>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</si>
  <si>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</si>
  <si>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</si>
  <si>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</si>
  <si>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</si>
  <si>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</si>
  <si>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</si>
  <si>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</si>
  <si>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</si>
  <si>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</si>
  <si>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</si>
  <si>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</si>
  <si>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</si>
  <si>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</si>
  <si>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</si>
  <si>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</si>
  <si>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</si>
  <si>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</si>
  <si>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</si>
  <si>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</si>
  <si>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</si>
  <si>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</si>
  <si>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</si>
  <si>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</si>
  <si>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</si>
  <si>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</si>
  <si>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</si>
  <si>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</si>
  <si>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</si>
  <si>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</si>
  <si>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</si>
  <si>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</si>
  <si>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</si>
  <si>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</si>
  <si>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</si>
  <si>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</si>
  <si>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</si>
  <si>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</si>
  <si>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</si>
  <si>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</si>
  <si>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</si>
  <si>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</si>
  <si>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</si>
  <si>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</si>
  <si>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</si>
  <si>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</si>
  <si>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</si>
  <si>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</si>
  <si>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</si>
  <si>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</si>
  <si>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</si>
  <si>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</si>
  <si>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</si>
  <si>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</si>
  <si>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</si>
  <si>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</si>
  <si>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</si>
  <si>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</si>
  <si>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</si>
  <si>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</si>
  <si>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</si>
  <si>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</si>
  <si>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</si>
  <si>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</si>
  <si>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</si>
  <si>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</si>
  <si>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</si>
  <si>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</si>
  <si>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</si>
  <si>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</si>
  <si>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</si>
  <si>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</si>
  <si>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</si>
  <si>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</si>
  <si>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</si>
  <si>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</si>
  <si>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</si>
  <si>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</si>
  <si>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</si>
  <si>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</si>
  <si>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</si>
  <si>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</si>
  <si>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</si>
  <si>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</si>
  <si>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</si>
  <si>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</si>
  <si>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</si>
  <si>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</si>
  <si>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</si>
  <si>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</si>
  <si>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</si>
  <si>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</si>
  <si>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</si>
  <si>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</si>
  <si>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</si>
  <si>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</si>
  <si>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</si>
  <si>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</si>
  <si>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</si>
  <si>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</si>
  <si>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</si>
  <si>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</si>
  <si>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</si>
  <si>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</si>
  <si>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</si>
  <si>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</si>
  <si>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</si>
  <si>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</si>
  <si>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</si>
  <si>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</si>
  <si>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</si>
  <si>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</si>
  <si>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</si>
  <si>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</si>
  <si>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</si>
  <si>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</si>
  <si>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</si>
  <si>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</si>
  <si>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</si>
  <si>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</si>
  <si>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</si>
  <si>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</si>
  <si>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</si>
  <si>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</si>
  <si>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</si>
  <si>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</si>
  <si>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</si>
  <si>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</si>
  <si>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</si>
  <si>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</si>
  <si>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</si>
  <si>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</si>
  <si>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</si>
  <si>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</si>
  <si>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</si>
  <si>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</si>
  <si>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</si>
  <si>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</si>
  <si>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</si>
  <si>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</si>
  <si>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</si>
  <si>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</si>
  <si>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</si>
  <si>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</si>
  <si>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</si>
  <si>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</si>
  <si>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</si>
  <si>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</si>
  <si>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</si>
  <si>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</si>
  <si>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</si>
  <si>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</si>
  <si>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</si>
  <si>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</si>
  <si>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</si>
  <si>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</si>
  <si>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</si>
  <si>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</si>
  <si>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</si>
  <si>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</si>
  <si>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</si>
  <si>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</si>
  <si>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</si>
  <si>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</si>
  <si>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</si>
  <si>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</si>
  <si>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</si>
  <si>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</si>
  <si>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</si>
  <si>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</si>
  <si>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</si>
  <si>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</si>
  <si>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</si>
  <si>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</si>
  <si>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</si>
  <si>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</si>
  <si>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</si>
  <si>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</si>
  <si>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</si>
  <si>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</si>
  <si>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</si>
  <si>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</si>
  <si>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</si>
  <si>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</si>
  <si>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</si>
  <si>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</si>
  <si>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</si>
  <si>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</si>
  <si>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</si>
  <si>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</si>
  <si>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</si>
  <si>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</si>
  <si>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</si>
  <si>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</si>
  <si>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</si>
  <si>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</si>
  <si>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</si>
  <si>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</si>
  <si>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</si>
  <si>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</si>
  <si>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</si>
  <si>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</si>
  <si>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</si>
  <si>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</si>
  <si>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</si>
  <si>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</si>
  <si>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</si>
  <si>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</si>
  <si>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</si>
  <si>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</si>
  <si>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</si>
  <si>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</si>
  <si>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</si>
  <si>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</si>
  <si>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</si>
  <si>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</si>
  <si>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</si>
  <si>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</si>
  <si>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</si>
  <si>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</si>
  <si>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</si>
  <si>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</si>
  <si>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</si>
  <si>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</si>
  <si>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</si>
  <si>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</si>
  <si>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</si>
  <si>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</si>
  <si>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</si>
  <si>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</si>
  <si>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</si>
  <si>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</si>
  <si>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</si>
  <si>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</si>
  <si>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</si>
  <si>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</si>
  <si>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</si>
  <si>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</si>
  <si>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</si>
  <si>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</si>
  <si>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</si>
  <si>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</si>
  <si>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</si>
  <si>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</si>
  <si>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</si>
  <si>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</si>
  <si>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</si>
  <si>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</si>
  <si>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</si>
  <si>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</si>
  <si>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</si>
  <si>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</si>
  <si>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</si>
  <si>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</si>
  <si>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</si>
  <si>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</si>
  <si>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</si>
  <si>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</si>
  <si>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</si>
  <si>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</si>
  <si>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</si>
  <si>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</si>
  <si>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</si>
  <si>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</si>
  <si>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</si>
  <si>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</si>
  <si>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</si>
  <si>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</si>
  <si>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</si>
  <si>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</si>
  <si>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</si>
  <si>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</si>
  <si>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</si>
  <si>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</si>
  <si>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</si>
  <si>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</si>
  <si>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</si>
  <si>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</si>
  <si>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</si>
  <si>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</si>
  <si>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</si>
  <si>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</si>
  <si>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</si>
  <si>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</si>
  <si>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</si>
  <si>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</si>
  <si>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</si>
  <si>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</si>
  <si>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</si>
  <si>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</si>
  <si>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</si>
  <si>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</si>
  <si>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</si>
  <si>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</si>
  <si>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</si>
  <si>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</si>
  <si>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</si>
  <si>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</si>
  <si>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</si>
  <si>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</si>
  <si>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</si>
  <si>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</si>
  <si>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</si>
  <si>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</si>
  <si>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</si>
  <si>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</si>
  <si>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</si>
  <si>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</si>
  <si>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</si>
  <si>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</si>
  <si>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</si>
  <si>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</si>
  <si>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</si>
  <si>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</si>
  <si>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</si>
  <si>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</si>
  <si>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</si>
  <si>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</si>
  <si>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</si>
  <si>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</si>
  <si>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</si>
  <si>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</si>
  <si>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</si>
  <si>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</si>
  <si>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</si>
  <si>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</si>
  <si>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</si>
  <si>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</si>
  <si>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</si>
  <si>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</si>
  <si>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</si>
  <si>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</si>
  <si>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</si>
  <si>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</si>
  <si>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</si>
  <si>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</si>
  <si>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</si>
  <si>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</si>
  <si>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</si>
  <si>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</si>
  <si>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</si>
  <si>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</si>
  <si>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</si>
  <si>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</si>
  <si>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</si>
  <si>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</si>
  <si>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</si>
  <si>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</si>
  <si>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</si>
  <si>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</si>
  <si>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</si>
  <si>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</si>
  <si>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</si>
  <si>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</si>
  <si>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</si>
  <si>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</si>
  <si>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</si>
  <si>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</si>
  <si>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</si>
  <si>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</si>
  <si>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</si>
  <si>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</si>
  <si>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</si>
  <si>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</si>
  <si>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</si>
  <si>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</si>
  <si>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</si>
  <si>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</si>
  <si>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</si>
  <si>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</si>
  <si>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</si>
  <si>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</si>
  <si>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</si>
  <si>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</si>
  <si>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</si>
  <si>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</si>
  <si>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</si>
  <si>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</si>
  <si>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</si>
  <si>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</si>
  <si>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</si>
  <si>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</si>
  <si>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</si>
  <si>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</si>
  <si>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</si>
  <si>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</si>
  <si>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</si>
  <si>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</si>
  <si>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</si>
  <si>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</si>
  <si>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</si>
  <si>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</si>
  <si>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</si>
  <si>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</si>
  <si>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</si>
  <si>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</si>
  <si>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</si>
  <si>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</si>
  <si>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</si>
  <si>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</si>
  <si>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</si>
  <si>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</si>
  <si>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</si>
  <si>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</si>
  <si>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</si>
  <si>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</si>
  <si>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</si>
  <si>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</si>
  <si>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</si>
  <si>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</si>
  <si>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</si>
  <si>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</si>
  <si>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</si>
  <si>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</si>
  <si>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</si>
  <si>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</si>
  <si>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</si>
  <si>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</si>
  <si>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</si>
  <si>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</si>
  <si>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</si>
  <si>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</si>
  <si>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</si>
  <si>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</si>
  <si>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</si>
  <si>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</si>
  <si>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</si>
  <si>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</si>
  <si>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</si>
  <si>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</si>
  <si>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</si>
  <si>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</si>
  <si>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</si>
  <si>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</si>
  <si>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</si>
  <si>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</si>
  <si>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</si>
  <si>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</si>
  <si>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</si>
  <si>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</si>
  <si>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</si>
  <si>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</si>
  <si>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</si>
  <si>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</si>
  <si>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</si>
  <si>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</si>
  <si>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</si>
  <si>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</si>
  <si>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</si>
  <si>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</si>
  <si>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</si>
  <si>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</si>
  <si>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</si>
  <si>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</si>
  <si>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</si>
  <si>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</si>
  <si>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</si>
  <si>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</si>
  <si>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</si>
  <si>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</si>
  <si>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</si>
  <si>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</si>
  <si>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</si>
  <si>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</si>
  <si>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</si>
  <si>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</si>
  <si>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</si>
  <si>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</si>
  <si>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</si>
  <si>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</si>
  <si>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</si>
  <si>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</si>
  <si>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</si>
  <si>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</si>
  <si>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</si>
  <si>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</si>
  <si>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</si>
  <si>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</si>
  <si>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</si>
  <si>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</si>
  <si>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</si>
  <si>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</si>
  <si>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</si>
  <si>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</si>
  <si>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</si>
  <si>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</si>
  <si>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</si>
  <si>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</si>
  <si>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</si>
  <si>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</si>
  <si>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</si>
  <si>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</si>
  <si>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</si>
  <si>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</si>
  <si>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</si>
  <si>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</si>
  <si>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</si>
  <si>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</si>
  <si>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</si>
  <si>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</si>
  <si>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</si>
  <si>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</si>
  <si>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</si>
  <si>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</si>
  <si>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</si>
  <si>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</si>
  <si>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</si>
  <si>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</si>
  <si>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</si>
  <si>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</si>
  <si>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</si>
  <si>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</si>
  <si>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</si>
  <si>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</si>
  <si>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</si>
  <si>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</si>
  <si>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</si>
  <si>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</si>
  <si>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</si>
  <si>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</si>
  <si>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</si>
  <si>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</si>
  <si>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</si>
  <si>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</si>
  <si>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</si>
  <si>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</si>
  <si>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</si>
  <si>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</si>
  <si>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</si>
  <si>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</si>
  <si>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</si>
  <si>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</si>
  <si>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</si>
  <si>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</si>
  <si>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</si>
  <si>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</si>
  <si>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</si>
  <si>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</si>
  <si>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</si>
  <si>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</si>
  <si>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</si>
  <si>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</si>
  <si>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</si>
  <si>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</si>
  <si>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</si>
  <si>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</si>
  <si>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</si>
  <si>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</si>
  <si>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</si>
  <si>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</si>
  <si>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</si>
  <si>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</si>
  <si>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</si>
  <si>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</si>
  <si>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</si>
  <si>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</si>
  <si>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</si>
  <si>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</si>
  <si>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</si>
  <si>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</si>
  <si>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</si>
  <si>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</si>
  <si>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</si>
  <si>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</si>
  <si>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</si>
  <si>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</si>
  <si>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</si>
  <si>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</si>
  <si>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</si>
  <si>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</si>
  <si>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</si>
  <si>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</si>
  <si>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</si>
  <si>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</si>
  <si>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</si>
  <si>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</si>
  <si>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</si>
  <si>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</si>
  <si>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</si>
  <si>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</si>
  <si>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</si>
  <si>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</si>
  <si>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</si>
  <si>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</si>
  <si>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</si>
  <si>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</si>
  <si>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</si>
  <si>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</si>
  <si>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</si>
  <si>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</si>
  <si>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</si>
  <si>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</si>
  <si>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</si>
  <si>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</si>
  <si>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</si>
  <si>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</si>
  <si>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</si>
  <si>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</si>
  <si>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</si>
  <si>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</si>
  <si>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</si>
  <si>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</si>
  <si>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</si>
  <si>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</si>
  <si>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</si>
  <si>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</si>
  <si>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</si>
  <si>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</si>
  <si>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</si>
  <si>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</si>
  <si>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</si>
  <si>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</si>
  <si>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</si>
  <si>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</si>
  <si>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</si>
  <si>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</si>
  <si>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</si>
  <si>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</si>
  <si>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</si>
  <si>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</si>
  <si>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</si>
  <si>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</si>
  <si>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</si>
  <si>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</si>
  <si>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</si>
  <si>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</si>
  <si>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</si>
  <si>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</si>
  <si>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</si>
  <si>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</si>
  <si>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</si>
  <si>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</si>
  <si>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</si>
  <si>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</si>
  <si>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</si>
  <si>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</si>
  <si>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</si>
  <si>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</si>
  <si>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</si>
  <si>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</si>
  <si>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</si>
  <si>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</si>
  <si>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</si>
  <si>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</si>
  <si>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</si>
  <si>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</si>
  <si>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</si>
  <si>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</si>
  <si>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</si>
  <si>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</si>
  <si>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</si>
  <si>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</si>
  <si>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</si>
  <si>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</si>
  <si>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</si>
  <si>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</si>
  <si>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</si>
  <si>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</si>
  <si>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</si>
  <si>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</si>
  <si>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</si>
  <si>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</si>
  <si>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</si>
  <si>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</si>
  <si>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</si>
  <si>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</si>
  <si>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</si>
  <si>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</si>
  <si>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</si>
  <si>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</si>
  <si>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</si>
  <si>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</si>
  <si>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</si>
  <si>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</si>
  <si>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</si>
  <si>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</si>
  <si>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</si>
  <si>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</si>
  <si>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</si>
  <si>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</si>
  <si>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</si>
  <si>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</si>
  <si>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</si>
  <si>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</si>
  <si>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</si>
  <si>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</si>
  <si>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</si>
  <si>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</si>
  <si>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</si>
  <si>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</si>
  <si>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</si>
  <si>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</si>
  <si>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</si>
  <si>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</si>
  <si>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</si>
  <si>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</si>
  <si>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</si>
  <si>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</si>
  <si>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</si>
  <si>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</si>
  <si>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</si>
  <si>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</si>
  <si>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</si>
  <si>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</si>
  <si>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</si>
  <si>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</si>
  <si>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</si>
  <si>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</si>
  <si>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</si>
  <si>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</si>
  <si>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</si>
  <si>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</si>
  <si>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</si>
  <si>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</si>
  <si>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</si>
  <si>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</si>
  <si>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</si>
  <si>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</si>
  <si>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</si>
  <si>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</si>
  <si>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</si>
  <si>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</si>
  <si>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</si>
  <si>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</si>
  <si>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</si>
  <si>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</si>
  <si>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</si>
  <si>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</si>
  <si>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</si>
  <si>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</si>
  <si>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</si>
  <si>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</si>
  <si>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</si>
  <si>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</si>
  <si>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</si>
  <si>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</si>
  <si>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</si>
  <si>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</si>
  <si>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</si>
  <si>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</si>
  <si>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</si>
  <si>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</si>
  <si>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</si>
  <si>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</si>
  <si>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</si>
  <si>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</si>
  <si>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</si>
  <si>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</si>
  <si>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</si>
  <si>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</si>
  <si>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</si>
  <si>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</si>
  <si>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</si>
  <si>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</si>
  <si>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</si>
  <si>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</si>
  <si>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</si>
  <si>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</si>
  <si>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</si>
  <si>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</si>
  <si>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</si>
  <si>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</si>
  <si>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</si>
  <si>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</si>
  <si>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</si>
  <si>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</si>
  <si>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</si>
  <si>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</si>
  <si>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</si>
  <si>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</si>
  <si>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</si>
  <si>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</si>
  <si>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</si>
  <si>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</si>
  <si>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</si>
  <si>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</si>
  <si>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</si>
  <si>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</si>
  <si>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</si>
  <si>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</si>
  <si>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</si>
  <si>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</si>
  <si>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</si>
  <si>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</si>
  <si>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</si>
  <si>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</si>
  <si>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</si>
  <si>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</si>
  <si>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</si>
  <si>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</si>
  <si>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</si>
  <si>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</si>
  <si>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</si>
  <si>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</si>
  <si>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</si>
  <si>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</si>
  <si>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</si>
  <si>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</si>
  <si>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</si>
  <si>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</si>
  <si>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</si>
  <si>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</si>
  <si>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</si>
  <si>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</si>
  <si>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</si>
  <si>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</si>
  <si>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</si>
  <si>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</si>
  <si>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</si>
  <si>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</si>
  <si>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</si>
  <si>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</si>
  <si>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</si>
  <si>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</si>
  <si>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</si>
  <si>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</si>
  <si>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</si>
  <si>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</si>
  <si>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</si>
  <si>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</si>
  <si>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</si>
  <si>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</si>
  <si>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</si>
  <si>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</si>
  <si>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</si>
  <si>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</si>
  <si>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</si>
  <si>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</si>
  <si>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</si>
  <si>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</si>
  <si>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</si>
  <si>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</si>
  <si>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</si>
  <si>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</si>
  <si>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</si>
  <si>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</si>
  <si>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</si>
  <si>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</si>
  <si>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</si>
  <si>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</si>
  <si>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</si>
  <si>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</si>
  <si>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</si>
  <si>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</si>
  <si>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</si>
  <si>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</si>
  <si>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</si>
  <si>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</si>
  <si>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</si>
  <si>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</si>
  <si>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</si>
  <si>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</si>
  <si>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</si>
  <si>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</si>
  <si>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</si>
  <si>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</si>
  <si>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</si>
  <si>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</si>
  <si>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</si>
  <si>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</si>
  <si>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</si>
  <si>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</si>
  <si>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</si>
  <si>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</si>
  <si>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</si>
  <si>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</si>
  <si>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</si>
  <si>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</si>
  <si>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</si>
  <si>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</si>
  <si>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</si>
  <si>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</si>
  <si>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</si>
  <si>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</si>
  <si>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</si>
  <si>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</si>
  <si>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</si>
  <si>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</si>
  <si>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</si>
  <si>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</si>
  <si>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</si>
  <si>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</si>
  <si>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</si>
  <si>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</si>
  <si>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</si>
  <si>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</si>
  <si>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</si>
  <si>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</si>
  <si>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</si>
  <si>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</si>
  <si>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</si>
  <si>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</si>
  <si>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</si>
  <si>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</si>
  <si>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</si>
  <si>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</si>
  <si>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</si>
  <si>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</si>
  <si>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</si>
  <si>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</si>
  <si>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</si>
  <si>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</si>
  <si>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</si>
  <si>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</si>
  <si>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</si>
  <si>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</si>
  <si>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</si>
  <si>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</si>
  <si>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</si>
  <si>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</si>
  <si>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</si>
  <si>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</si>
  <si>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</si>
  <si>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</si>
  <si>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</si>
  <si>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</si>
  <si>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</si>
  <si>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</si>
  <si>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</si>
  <si>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</si>
  <si>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</si>
  <si>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</si>
  <si>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</si>
  <si>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</si>
  <si>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</si>
  <si>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</si>
  <si>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</si>
  <si>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</si>
  <si>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</si>
  <si>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</si>
  <si>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</si>
  <si>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</si>
  <si>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</si>
  <si>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</si>
  <si>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</si>
  <si>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</si>
  <si>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</si>
  <si>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</si>
  <si>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</si>
  <si>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</si>
  <si>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</si>
  <si>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</si>
  <si>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</si>
  <si>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</si>
  <si>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</si>
  <si>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</si>
  <si>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</si>
  <si>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</si>
  <si>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</si>
  <si>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</si>
  <si>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</si>
  <si>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</si>
  <si>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</si>
  <si>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</si>
  <si>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</si>
  <si>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</si>
  <si>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</si>
  <si>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</si>
  <si>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</si>
  <si>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</si>
  <si>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</si>
  <si>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</si>
  <si>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</si>
  <si>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</si>
  <si>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</si>
  <si>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</si>
  <si>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</si>
  <si>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</si>
  <si>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</si>
  <si>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</si>
  <si>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</si>
  <si>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</si>
  <si>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</si>
  <si>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</si>
  <si>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</si>
  <si>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</si>
  <si>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</si>
  <si>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</si>
  <si>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</si>
  <si>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</si>
  <si>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</si>
  <si>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</si>
  <si>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</si>
  <si>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</si>
  <si>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</si>
  <si>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</si>
  <si>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</si>
  <si>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</si>
  <si>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</si>
  <si>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</si>
  <si>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</si>
  <si>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</si>
  <si>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</si>
  <si>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</si>
  <si>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</si>
  <si>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</si>
  <si>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</si>
  <si>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</si>
  <si>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</si>
  <si>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</si>
  <si>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</si>
  <si>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</si>
  <si>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</si>
  <si>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</si>
  <si>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</si>
  <si>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</si>
  <si>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</si>
  <si>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</si>
  <si>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</si>
  <si>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</si>
  <si>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</si>
  <si>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</si>
  <si>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</si>
  <si>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</si>
  <si>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</si>
  <si>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</si>
  <si>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</si>
  <si>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</si>
  <si>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</si>
  <si>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</si>
  <si>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</si>
  <si>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</si>
  <si>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</si>
  <si>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</si>
  <si>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</si>
  <si>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</si>
  <si>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</si>
  <si>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</si>
  <si>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</si>
  <si>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</si>
  <si>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</si>
  <si>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</si>
  <si>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</si>
  <si>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</si>
  <si>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</si>
  <si>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</si>
  <si>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</si>
  <si>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</si>
  <si>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</si>
  <si>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</si>
  <si>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</si>
  <si>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</si>
  <si>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</si>
  <si>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</si>
  <si>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</si>
  <si>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</si>
  <si>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</si>
  <si>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</si>
  <si>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</si>
  <si>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</si>
  <si>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</si>
  <si>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</si>
  <si>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</si>
  <si>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</si>
  <si>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</si>
  <si>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</si>
  <si>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</si>
  <si>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</si>
  <si>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</si>
  <si>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</si>
  <si>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</si>
  <si>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</si>
  <si>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</si>
  <si>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</si>
  <si>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</si>
  <si>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</si>
  <si>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</si>
  <si>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</si>
  <si>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</si>
  <si>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</si>
  <si>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</si>
  <si>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</si>
  <si>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</si>
  <si>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</si>
  <si>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</si>
  <si>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</si>
  <si>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</si>
  <si>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</si>
  <si>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</si>
  <si>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</si>
  <si>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</si>
  <si>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</si>
  <si>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</si>
  <si>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</si>
  <si>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</si>
  <si>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</si>
  <si>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</si>
  <si>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</si>
  <si>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</si>
  <si>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</si>
  <si>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</si>
  <si>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</si>
  <si>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</si>
  <si>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</si>
  <si>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</si>
  <si>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</si>
  <si>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</si>
  <si>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</si>
  <si>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</si>
  <si>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</si>
  <si>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</si>
  <si>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</si>
  <si>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</si>
  <si>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</si>
  <si>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</si>
  <si>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</si>
  <si>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</si>
  <si>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</si>
  <si>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</si>
  <si>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</si>
  <si>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</si>
  <si>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</si>
  <si>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</si>
  <si>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</si>
  <si>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</si>
  <si>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</si>
  <si>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</si>
  <si>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</si>
  <si>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</si>
  <si>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</si>
  <si>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</si>
  <si>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</si>
  <si>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</si>
  <si>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</si>
  <si>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</si>
  <si>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</si>
  <si>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</si>
  <si>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</si>
  <si>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</si>
  <si>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</si>
  <si>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</si>
  <si>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</si>
  <si>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</si>
  <si>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</si>
  <si>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</si>
  <si>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</si>
  <si>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</si>
  <si>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</si>
  <si>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</si>
  <si>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</si>
  <si>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</si>
  <si>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</si>
  <si>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</si>
  <si>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</si>
  <si>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</si>
  <si>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</si>
  <si>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</si>
  <si>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</si>
  <si>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</si>
  <si>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</si>
  <si>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</si>
  <si>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</si>
  <si>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</si>
  <si>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</si>
  <si>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</si>
  <si>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</si>
  <si>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</si>
  <si>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</si>
  <si>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</si>
  <si>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</si>
  <si>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</si>
  <si>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</si>
  <si>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</si>
  <si>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</si>
  <si>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</si>
  <si>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</si>
  <si>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</si>
  <si>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</si>
  <si>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</si>
  <si>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</si>
  <si>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</si>
  <si>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</si>
  <si>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</si>
  <si>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</si>
  <si>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</si>
  <si>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</si>
  <si>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</si>
  <si>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</si>
  <si>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</si>
  <si>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</si>
  <si>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</si>
  <si>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</si>
  <si>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</si>
  <si>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</si>
  <si>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</si>
  <si>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</si>
  <si>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</si>
  <si>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</si>
  <si>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</si>
  <si>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</si>
  <si>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</si>
  <si>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</si>
  <si>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</si>
  <si>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</si>
  <si>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</si>
  <si>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</si>
  <si>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</si>
  <si>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</si>
  <si>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</si>
  <si>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</si>
  <si>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</si>
  <si>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</si>
  <si>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</si>
  <si>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</si>
  <si>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</si>
  <si>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</si>
  <si>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</si>
  <si>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</si>
  <si>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</si>
  <si>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</si>
  <si>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</si>
  <si>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</si>
  <si>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</si>
  <si>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</si>
  <si>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</si>
  <si>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</si>
  <si>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</si>
  <si>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</si>
  <si>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</si>
  <si>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</si>
  <si>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</si>
  <si>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</si>
  <si>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</si>
  <si>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</si>
  <si>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</si>
  <si>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</si>
  <si>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</si>
  <si>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</si>
  <si>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</si>
  <si>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</si>
  <si>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</si>
  <si>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</si>
  <si>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</si>
  <si>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</si>
  <si>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</si>
  <si>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</si>
  <si>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</si>
  <si>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</si>
  <si>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</si>
  <si>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</si>
  <si>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</si>
  <si>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</si>
  <si>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</si>
  <si>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</si>
  <si>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</si>
  <si>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</si>
  <si>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</si>
  <si>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</si>
  <si>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</si>
  <si>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</si>
  <si>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</si>
  <si>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</si>
  <si>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</si>
  <si>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</si>
  <si>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</si>
  <si>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</si>
  <si>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</si>
  <si>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</si>
  <si>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</si>
  <si>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</si>
  <si>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</si>
  <si>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</si>
  <si>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</si>
  <si>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</si>
  <si>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</si>
  <si>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</si>
  <si>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</si>
  <si>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</si>
  <si>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</si>
  <si>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</si>
  <si>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</si>
  <si>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</si>
  <si>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</si>
  <si>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</si>
  <si>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</si>
  <si>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</si>
  <si>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</si>
  <si>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</si>
  <si>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</si>
  <si>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</si>
  <si>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</si>
  <si>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</si>
  <si>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</si>
  <si>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</si>
  <si>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</si>
  <si>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</si>
  <si>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</si>
  <si>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</si>
  <si>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</si>
  <si>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</si>
  <si>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</si>
  <si>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</si>
  <si>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</si>
  <si>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</si>
  <si>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</si>
  <si>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</si>
  <si>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</si>
  <si>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</si>
  <si>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</si>
  <si>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</si>
  <si>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</si>
  <si>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</si>
  <si>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</si>
  <si>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</si>
  <si>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</si>
  <si>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</si>
  <si>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</si>
  <si>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</si>
  <si>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</si>
  <si>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</si>
  <si>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</si>
  <si>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</si>
  <si>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</si>
  <si>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</si>
  <si>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</si>
  <si>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</si>
  <si>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</si>
  <si>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</si>
  <si>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</si>
  <si>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</si>
  <si>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</si>
  <si>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</si>
  <si>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</si>
  <si>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</si>
  <si>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</si>
  <si>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</si>
  <si>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</si>
  <si>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</si>
  <si>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</si>
  <si>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</si>
  <si>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</si>
  <si>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</si>
  <si>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</si>
  <si>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</si>
  <si>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</si>
  <si>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</si>
  <si>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</si>
  <si>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</si>
  <si>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</si>
  <si>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</si>
  <si>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</si>
  <si>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</si>
  <si>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</si>
  <si>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</si>
  <si>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</si>
  <si>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</si>
  <si>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</si>
  <si>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</si>
  <si>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</si>
  <si>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</si>
  <si>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</si>
  <si>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</si>
  <si>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</si>
  <si>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</si>
  <si>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</si>
  <si>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</si>
  <si>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</si>
  <si>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</si>
  <si>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</si>
  <si>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</si>
  <si>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</si>
  <si>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</si>
  <si>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</si>
  <si>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</si>
  <si>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</si>
  <si>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</si>
  <si>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</si>
  <si>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</si>
  <si>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</si>
  <si>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</si>
  <si>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</si>
  <si>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</si>
  <si>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</si>
  <si>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</si>
  <si>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</si>
  <si>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</si>
  <si>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</si>
  <si>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</si>
  <si>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</si>
  <si>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</si>
  <si>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</si>
  <si>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</si>
  <si>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</si>
  <si>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</si>
  <si>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</si>
  <si>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</si>
  <si>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</si>
  <si>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</si>
  <si>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</si>
  <si>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</si>
  <si>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</si>
  <si>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</si>
  <si>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</si>
  <si>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</si>
  <si>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</si>
  <si>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</si>
  <si>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</si>
  <si>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</si>
  <si>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</si>
  <si>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</si>
  <si>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</si>
  <si>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</si>
  <si>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</si>
  <si>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</si>
  <si>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</si>
  <si>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</si>
  <si>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</si>
  <si>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</si>
  <si>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</si>
  <si>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</si>
  <si>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</si>
  <si>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</si>
  <si>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</si>
  <si>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</si>
  <si>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</si>
  <si>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</si>
  <si>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</si>
  <si>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</si>
  <si>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</si>
  <si>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</si>
  <si>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</si>
  <si>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</si>
  <si>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</si>
  <si>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</si>
  <si>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</si>
  <si>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</si>
  <si>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</si>
  <si>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</si>
  <si>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</si>
  <si>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</si>
  <si>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</si>
  <si>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</si>
  <si>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</si>
  <si>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</si>
  <si>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</si>
  <si>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</si>
  <si>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</si>
  <si>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</si>
  <si>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</si>
  <si>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</si>
  <si>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</si>
  <si>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</si>
  <si>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</si>
  <si>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</si>
  <si>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</si>
  <si>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</si>
  <si>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</si>
  <si>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</si>
  <si>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</si>
  <si>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</si>
  <si>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</si>
  <si>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</si>
  <si>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</si>
  <si>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</si>
  <si>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</si>
  <si>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</si>
  <si>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</si>
  <si>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</si>
  <si>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</si>
  <si>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</si>
  <si>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</si>
  <si>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</si>
  <si>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</si>
  <si>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</si>
  <si>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</si>
  <si>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</si>
  <si>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</si>
  <si>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</si>
  <si>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</si>
  <si>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</si>
  <si>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</si>
  <si>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</si>
  <si>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</si>
  <si>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</si>
  <si>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</si>
  <si>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</si>
  <si>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</si>
  <si>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</si>
  <si>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</si>
  <si>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</si>
  <si>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</si>
  <si>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</si>
  <si>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</si>
  <si>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</si>
  <si>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</si>
  <si>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</si>
  <si>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</si>
  <si>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</si>
  <si>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</si>
  <si>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</si>
  <si>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</si>
  <si>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</si>
  <si>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</si>
  <si>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</si>
  <si>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</si>
  <si>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</si>
  <si>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</si>
  <si>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</si>
  <si>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</si>
  <si>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</si>
  <si>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</si>
  <si>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</si>
  <si>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</si>
  <si>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</si>
  <si>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</si>
  <si>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</si>
  <si>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</si>
  <si>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</si>
  <si>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</si>
  <si>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</si>
  <si>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</si>
  <si>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</si>
  <si>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</si>
  <si>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</si>
  <si>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</si>
  <si>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</si>
  <si>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</si>
  <si>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</si>
  <si>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</si>
  <si>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</si>
  <si>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</si>
  <si>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</si>
  <si>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</si>
  <si>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</si>
  <si>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</si>
  <si>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</si>
  <si>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</si>
  <si>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</si>
  <si>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</si>
  <si>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</si>
  <si>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</si>
  <si>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</si>
  <si>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</si>
  <si>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</si>
  <si>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</si>
  <si>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</si>
  <si>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</si>
  <si>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</si>
  <si>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</si>
  <si>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</si>
  <si>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</si>
  <si>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</si>
  <si>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</si>
  <si>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</si>
  <si>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</si>
  <si>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</si>
  <si>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</si>
  <si>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</si>
  <si>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</si>
  <si>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</si>
  <si>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</si>
  <si>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</si>
  <si>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</si>
  <si>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</si>
  <si>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</si>
  <si>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</si>
  <si>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</si>
  <si>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</si>
  <si>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</si>
  <si>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</si>
  <si>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</si>
  <si>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</si>
  <si>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</si>
  <si>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</si>
  <si>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</si>
  <si>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</si>
  <si>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</si>
  <si>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</si>
  <si>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</si>
  <si>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</si>
  <si>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</si>
  <si>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</si>
  <si>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</si>
  <si>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</si>
  <si>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</si>
  <si>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</si>
  <si>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</si>
  <si>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</si>
  <si>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</si>
  <si>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</si>
  <si>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</si>
  <si>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</si>
  <si>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</si>
  <si>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</si>
  <si>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</si>
  <si>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</si>
  <si>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</si>
  <si>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</si>
  <si>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</si>
  <si>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</si>
  <si>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</si>
  <si>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</si>
  <si>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</si>
  <si>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</si>
  <si>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</si>
  <si>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</si>
  <si>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</si>
  <si>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</si>
  <si>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</si>
  <si>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</si>
  <si>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</si>
  <si>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</si>
  <si>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</si>
  <si>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</si>
  <si>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</si>
  <si>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</si>
  <si>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</si>
  <si>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</si>
  <si>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</si>
  <si>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</si>
  <si>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</si>
  <si>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</si>
  <si>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</si>
  <si>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</si>
  <si>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</si>
  <si>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</si>
  <si>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</si>
  <si>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</si>
  <si>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</si>
  <si>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</si>
  <si>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</si>
  <si>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</si>
  <si>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</si>
  <si>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</si>
  <si>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</si>
  <si>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</si>
  <si>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</si>
  <si>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</si>
  <si>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</si>
  <si>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</si>
  <si>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</si>
  <si>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</si>
  <si>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</si>
  <si>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</si>
  <si>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</si>
  <si>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</si>
  <si>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</si>
  <si>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</si>
  <si>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</si>
  <si>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</si>
  <si>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</si>
  <si>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</si>
  <si>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</si>
  <si>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</si>
  <si>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</si>
  <si>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</si>
  <si>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</si>
  <si>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</si>
  <si>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</si>
  <si>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</si>
  <si>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</si>
  <si>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</si>
  <si>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</si>
  <si>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</si>
  <si>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</si>
  <si>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</si>
  <si>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</si>
  <si>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</si>
  <si>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</si>
  <si>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</si>
  <si>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</si>
  <si>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</si>
  <si>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</si>
  <si>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</si>
  <si>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</si>
  <si>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</si>
  <si>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</si>
  <si>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</si>
  <si>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</si>
  <si>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</si>
  <si>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</si>
  <si>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</si>
  <si>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</si>
  <si>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</si>
  <si>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</si>
  <si>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</si>
  <si>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</si>
  <si>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</si>
  <si>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</si>
  <si>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</si>
  <si>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</si>
  <si>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</si>
  <si>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</si>
  <si>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</si>
  <si>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</si>
  <si>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</si>
  <si>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</si>
  <si>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</si>
  <si>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</si>
  <si>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</si>
  <si>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</si>
  <si>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</si>
  <si>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</si>
  <si>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</si>
  <si>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</si>
  <si>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</si>
  <si>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</si>
  <si>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</si>
  <si>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</si>
  <si>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</si>
  <si>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</si>
  <si>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</si>
  <si>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</si>
  <si>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</si>
  <si>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</si>
  <si>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</si>
  <si>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</si>
  <si>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</si>
  <si>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</si>
  <si>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</si>
  <si>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</si>
  <si>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</si>
  <si>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</si>
  <si>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</si>
  <si>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</si>
  <si>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</si>
  <si>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</si>
  <si>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</si>
  <si>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</si>
  <si>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</si>
  <si>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</si>
  <si>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</si>
  <si>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</si>
  <si>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</si>
  <si>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</si>
  <si>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</si>
  <si>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</si>
  <si>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</si>
  <si>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</si>
  <si>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</si>
  <si>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</si>
  <si>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</si>
  <si>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</si>
  <si>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</si>
  <si>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</si>
  <si>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</si>
  <si>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</si>
  <si>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</si>
  <si>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</si>
  <si>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</si>
  <si>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</si>
  <si>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</si>
  <si>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</si>
  <si>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</si>
  <si>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</si>
  <si>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</si>
  <si>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</si>
  <si>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</si>
  <si>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</si>
  <si>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</si>
  <si>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</si>
  <si>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</si>
  <si>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</si>
  <si>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</si>
  <si>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</si>
  <si>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</si>
  <si>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</si>
  <si>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</si>
  <si>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</si>
  <si>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</si>
  <si>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</si>
  <si>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</si>
  <si>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</si>
  <si>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</si>
  <si>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</si>
  <si>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</si>
  <si>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</si>
  <si>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</si>
  <si>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</si>
  <si>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</si>
  <si>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</si>
  <si>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</si>
  <si>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</si>
  <si>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</si>
  <si>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</si>
  <si>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</si>
  <si>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</si>
  <si>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</si>
  <si>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</si>
  <si>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</si>
  <si>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</si>
  <si>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</si>
  <si>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</si>
  <si>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</si>
  <si>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</si>
  <si>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</si>
  <si>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</si>
  <si>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</si>
  <si>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</si>
  <si>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</si>
  <si>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</si>
  <si>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</si>
  <si>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</si>
  <si>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</si>
  <si>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</si>
  <si>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</si>
  <si>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</si>
  <si>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</si>
  <si>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</si>
  <si>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</si>
  <si>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</si>
  <si>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</si>
  <si>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</si>
  <si>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</si>
  <si>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</si>
  <si>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</si>
  <si>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</si>
  <si>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</si>
  <si>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</si>
  <si>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</si>
  <si>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</si>
  <si>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</si>
  <si>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</si>
  <si>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</si>
  <si>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</si>
  <si>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</si>
  <si>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</si>
  <si>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</si>
  <si>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</si>
  <si>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</si>
  <si>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</si>
  <si>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</si>
  <si>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</si>
  <si>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</si>
  <si>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</si>
  <si>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</si>
  <si>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</si>
  <si>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</si>
  <si>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</si>
  <si>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</si>
  <si>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</si>
  <si>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</si>
  <si>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</si>
  <si>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</si>
  <si>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</si>
  <si>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</si>
  <si>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</si>
  <si>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</si>
  <si>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</si>
  <si>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</si>
  <si>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</si>
  <si>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</si>
  <si>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</si>
  <si>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</si>
  <si>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</si>
  <si>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</si>
  <si>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</si>
  <si>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</si>
  <si>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</si>
  <si>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</si>
  <si>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</si>
  <si>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</si>
  <si>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</si>
  <si>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</si>
  <si>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</si>
  <si>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</si>
  <si>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</si>
  <si>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</si>
  <si>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</si>
  <si>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</si>
  <si>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</si>
  <si>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</si>
  <si>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</si>
  <si>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</si>
  <si>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</si>
  <si>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</si>
  <si>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</si>
  <si>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</si>
  <si>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</si>
  <si>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</si>
  <si>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</si>
  <si>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</si>
  <si>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</si>
  <si>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</si>
  <si>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</si>
  <si>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</si>
  <si>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</si>
  <si>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</si>
  <si>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</si>
  <si>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</si>
  <si>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</si>
  <si>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</si>
  <si>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</si>
  <si>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</si>
  <si>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</si>
  <si>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</si>
  <si>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</si>
  <si>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</si>
  <si>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</si>
  <si>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</si>
  <si>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</si>
  <si>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</si>
  <si>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</si>
  <si>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</si>
  <si>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</si>
  <si>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</si>
  <si>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</si>
  <si>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</si>
  <si>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</si>
  <si>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</si>
  <si>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</si>
  <si>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</si>
  <si>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</si>
  <si>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</si>
  <si>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</si>
  <si>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</si>
  <si>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</si>
  <si>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</si>
  <si>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</si>
  <si>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</si>
  <si>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</si>
  <si>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</si>
  <si>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</si>
  <si>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</si>
  <si>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</si>
  <si>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</si>
  <si>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</si>
  <si>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</si>
  <si>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</si>
  <si>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</si>
  <si>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</si>
  <si>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</si>
  <si>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</si>
  <si>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</si>
  <si>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</si>
  <si>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</si>
  <si>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</si>
  <si>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</si>
  <si>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</si>
  <si>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</si>
  <si>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</si>
  <si>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</si>
  <si>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</si>
  <si>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</si>
  <si>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</si>
  <si>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</si>
  <si>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</si>
  <si>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</si>
  <si>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</si>
  <si>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</si>
  <si>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</si>
  <si>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</si>
  <si>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</si>
  <si>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</si>
  <si>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</si>
  <si>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</si>
  <si>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</si>
  <si>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</si>
  <si>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</si>
  <si>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</si>
  <si>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</si>
  <si>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</si>
  <si>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</si>
  <si>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</si>
  <si>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</si>
  <si>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</si>
  <si>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</si>
  <si>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</si>
  <si>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</si>
  <si>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</si>
  <si>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</si>
  <si>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</si>
  <si>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</si>
  <si>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</si>
  <si>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</si>
  <si>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</si>
  <si>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</si>
  <si>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</si>
  <si>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</si>
  <si>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</si>
  <si>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</si>
  <si>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</si>
  <si>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</si>
  <si>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</si>
  <si>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</si>
  <si>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</si>
  <si>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</si>
  <si>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</si>
  <si>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</si>
  <si>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</si>
  <si>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</si>
  <si>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</si>
  <si>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</si>
  <si>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</si>
  <si>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</si>
  <si>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</si>
  <si>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</si>
  <si>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</si>
  <si>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</si>
  <si>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</si>
  <si>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</si>
  <si>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</si>
  <si>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</si>
  <si>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</si>
  <si>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</si>
  <si>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</si>
  <si>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</si>
  <si>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</si>
  <si>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</si>
  <si>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</si>
  <si>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</si>
  <si>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</si>
  <si>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</si>
  <si>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</si>
  <si>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</si>
  <si>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</si>
  <si>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</si>
  <si>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</si>
  <si>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</si>
  <si>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</si>
  <si>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</si>
  <si>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</si>
  <si>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</si>
  <si>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</si>
  <si>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</si>
  <si>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</si>
  <si>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</si>
  <si>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</si>
  <si>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</si>
  <si>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</si>
  <si>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</si>
  <si>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</si>
  <si>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</si>
  <si>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</si>
  <si>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</si>
  <si>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</si>
  <si>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</si>
  <si>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</si>
  <si>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</si>
  <si>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</si>
  <si>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</si>
  <si>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</si>
  <si>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</si>
  <si>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</si>
  <si>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</si>
  <si>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</si>
  <si>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</si>
  <si>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</si>
  <si>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</si>
  <si>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</si>
  <si>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</si>
  <si>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</si>
  <si>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</si>
  <si>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</si>
  <si>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</si>
  <si>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</si>
  <si>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</si>
  <si>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</si>
  <si>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</si>
  <si>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</si>
  <si>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</si>
  <si>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</si>
  <si>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</si>
  <si>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</si>
  <si>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</si>
  <si>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</si>
  <si>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</si>
  <si>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</si>
  <si>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</si>
  <si>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</si>
  <si>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</si>
  <si>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</si>
  <si>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</si>
  <si>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</si>
  <si>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</si>
  <si>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</si>
  <si>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</si>
  <si>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</si>
  <si>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</si>
  <si>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</si>
  <si>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</si>
  <si>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</si>
  <si>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</si>
  <si>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</si>
  <si>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</si>
  <si>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</si>
  <si>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</si>
  <si>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</si>
  <si>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</si>
  <si>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</si>
  <si>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</si>
  <si>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</si>
  <si>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</si>
  <si>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</si>
  <si>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</si>
  <si>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</si>
  <si>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</si>
  <si>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</si>
  <si>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</si>
  <si>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</si>
  <si>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</si>
  <si>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</si>
  <si>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</si>
  <si>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</si>
  <si>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</si>
  <si>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</si>
  <si>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</si>
  <si>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</si>
  <si>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</si>
  <si>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</si>
  <si>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</si>
  <si>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</si>
  <si>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</si>
  <si>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</si>
  <si>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</si>
  <si>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</si>
  <si>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</si>
  <si>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</si>
  <si>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</si>
  <si>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</si>
  <si>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</si>
  <si>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</si>
  <si>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</si>
  <si>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</si>
  <si>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</si>
  <si>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</si>
  <si>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</si>
  <si>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</si>
  <si>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</si>
  <si>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</si>
  <si>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</si>
  <si>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</si>
  <si>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</si>
  <si>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</si>
  <si>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</si>
  <si>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</si>
  <si>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</si>
  <si>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</si>
  <si>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</si>
  <si>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</si>
  <si>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</si>
  <si>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</si>
  <si>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</si>
  <si>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</si>
  <si>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</si>
  <si>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</si>
  <si>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</si>
  <si>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</si>
  <si>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</si>
  <si>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</si>
  <si>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</si>
  <si>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</si>
  <si>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</si>
  <si>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</si>
  <si>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</si>
  <si>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</si>
  <si>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</si>
  <si>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</si>
  <si>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</si>
  <si>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</si>
  <si>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</si>
  <si>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</si>
  <si>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</si>
  <si>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</si>
  <si>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</si>
  <si>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</si>
  <si>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</si>
  <si>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</si>
  <si>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</si>
  <si>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</si>
  <si>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</si>
  <si>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</si>
  <si>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</si>
  <si>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</si>
  <si>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</si>
  <si>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</si>
  <si>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</si>
  <si>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</si>
  <si>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</si>
  <si>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</si>
  <si>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</si>
  <si>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</si>
  <si>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</si>
  <si>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</si>
  <si>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</si>
  <si>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</si>
  <si>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</si>
  <si>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</si>
  <si>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</si>
  <si>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</si>
  <si>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</si>
  <si>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</si>
  <si>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</si>
  <si>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</si>
  <si>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</si>
  <si>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</si>
  <si>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</si>
  <si>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</si>
  <si>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</si>
  <si>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</si>
  <si>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</si>
  <si>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</si>
  <si>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</si>
  <si>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</si>
  <si>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</si>
  <si>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</si>
  <si>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</si>
  <si>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</si>
  <si>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</si>
  <si>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</si>
  <si>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</si>
  <si>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</si>
  <si>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</si>
  <si>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</si>
  <si>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</si>
  <si>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</si>
  <si>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</si>
  <si>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</si>
  <si>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</si>
  <si>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</si>
  <si>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</si>
  <si>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</si>
  <si>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</si>
  <si>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</si>
  <si>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</si>
  <si>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</si>
  <si>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</si>
  <si>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</si>
  <si>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</si>
  <si>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</si>
  <si>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</si>
  <si>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</si>
  <si>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</si>
  <si>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</si>
  <si>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</si>
  <si>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</si>
  <si>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</si>
  <si>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</si>
  <si>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</si>
  <si>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</si>
  <si>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</si>
  <si>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</si>
  <si>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</si>
  <si>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</si>
  <si>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</si>
  <si>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</si>
  <si>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</si>
  <si>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</si>
  <si>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</si>
  <si>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</si>
  <si>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</si>
  <si>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</si>
  <si>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</si>
  <si>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</si>
  <si>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</si>
  <si>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</si>
  <si>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</si>
  <si>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</si>
  <si>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</si>
  <si>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</si>
  <si>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</si>
  <si>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</si>
  <si>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</si>
  <si>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</si>
  <si>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</si>
  <si>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</si>
  <si>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</si>
  <si>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</si>
  <si>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</si>
  <si>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</si>
  <si>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</si>
  <si>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</si>
  <si>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</si>
  <si>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</si>
  <si>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</si>
  <si>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</si>
  <si>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</si>
  <si>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</si>
  <si>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</si>
  <si>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</si>
  <si>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</si>
  <si>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</si>
  <si>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</si>
  <si>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</si>
  <si>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</si>
  <si>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</si>
  <si>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</si>
  <si>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</si>
  <si>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</si>
  <si>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</si>
  <si>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</si>
  <si>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</si>
  <si>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</si>
  <si>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</si>
  <si>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</si>
  <si>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</si>
  <si>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</si>
  <si>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</si>
  <si>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</si>
  <si>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</si>
  <si>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</si>
  <si>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</si>
  <si>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</si>
  <si>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</si>
  <si>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</si>
  <si>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</si>
  <si>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</si>
  <si>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</si>
  <si>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</si>
  <si>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</si>
  <si>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</si>
  <si>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</si>
  <si>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</si>
  <si>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</si>
  <si>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</si>
  <si>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</si>
  <si>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</si>
  <si>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</si>
  <si>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</si>
  <si>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</si>
  <si>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</si>
  <si>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</si>
  <si>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</si>
  <si>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</si>
  <si>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</si>
  <si>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</si>
  <si>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</si>
  <si>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</si>
  <si>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</si>
  <si>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</si>
  <si>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</si>
  <si>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</si>
  <si>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</si>
  <si>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</si>
  <si>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</si>
  <si>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</si>
  <si>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</si>
  <si>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</si>
  <si>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</si>
  <si>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</si>
  <si>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</si>
  <si>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</si>
  <si>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</si>
  <si>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</si>
  <si>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</si>
  <si>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</si>
  <si>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</si>
  <si>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</si>
  <si>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</si>
  <si>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</si>
  <si>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</si>
  <si>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</si>
  <si>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</si>
  <si>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</si>
  <si>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</si>
  <si>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</si>
  <si>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</si>
  <si>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</si>
  <si>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</si>
  <si>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</si>
  <si>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</si>
  <si>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</si>
  <si>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</si>
  <si>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</si>
  <si>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</si>
  <si>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</si>
  <si>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</si>
  <si>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</si>
  <si>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</si>
  <si>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</si>
  <si>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</si>
  <si>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</si>
  <si>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</si>
  <si>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</si>
  <si>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</si>
  <si>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</si>
  <si>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</si>
  <si>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</si>
  <si>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</si>
  <si>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</si>
  <si>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</si>
  <si>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</si>
  <si>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</si>
  <si>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</si>
  <si>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</si>
  <si>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</si>
  <si>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</si>
  <si>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</si>
  <si>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</si>
  <si>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</si>
  <si>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</si>
  <si>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</si>
  <si>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</si>
  <si>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</si>
  <si>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</si>
  <si>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</si>
  <si>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</si>
  <si>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</si>
  <si>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</si>
  <si>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</si>
  <si>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</si>
  <si>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</si>
  <si>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</si>
  <si>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</si>
  <si>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</si>
  <si>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</si>
  <si>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</si>
  <si>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</si>
  <si>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</si>
  <si>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</si>
  <si>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</si>
  <si>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</si>
  <si>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</si>
  <si>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</si>
  <si>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</si>
  <si>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</si>
  <si>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</si>
  <si>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</si>
  <si>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</si>
  <si>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</si>
  <si>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</si>
  <si>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</si>
  <si>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</si>
  <si>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</si>
  <si>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</si>
  <si>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</si>
  <si>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</si>
  <si>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</si>
  <si>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</si>
  <si>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</si>
  <si>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</si>
  <si>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</si>
  <si>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</si>
  <si>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</si>
  <si>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</si>
  <si>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</si>
  <si>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</si>
  <si>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</si>
  <si>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</si>
  <si>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</si>
  <si>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</si>
  <si>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</si>
  <si>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</si>
  <si>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</si>
  <si>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</si>
  <si>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</si>
  <si>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</si>
  <si>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</si>
  <si>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</si>
  <si>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</si>
  <si>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</si>
  <si>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</si>
  <si>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</si>
  <si>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</si>
  <si>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</si>
  <si>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</si>
  <si>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</si>
  <si>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</si>
  <si>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</si>
  <si>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</si>
  <si>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</si>
  <si>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</si>
  <si>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</si>
  <si>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</si>
  <si>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</si>
  <si>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</si>
  <si>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</si>
  <si>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</si>
  <si>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</si>
  <si>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</si>
  <si>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</si>
  <si>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</si>
  <si>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</si>
  <si>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</si>
  <si>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</si>
  <si>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</si>
  <si>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</si>
  <si>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</si>
  <si>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</si>
  <si>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</si>
  <si>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</si>
  <si>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</si>
  <si>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</si>
  <si>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</si>
  <si>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</si>
  <si>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</si>
  <si>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</si>
  <si>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</si>
  <si>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</si>
  <si>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</si>
  <si>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</si>
  <si>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</si>
  <si>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</si>
  <si>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</si>
  <si>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</si>
  <si>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</si>
  <si>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</si>
  <si>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</si>
  <si>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</si>
  <si>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</si>
  <si>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</si>
  <si>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</si>
  <si>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</si>
  <si>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</si>
  <si>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</si>
  <si>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</si>
  <si>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</si>
  <si>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</si>
  <si>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</si>
  <si>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</si>
  <si>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</si>
  <si>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</si>
  <si>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</si>
  <si>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</si>
  <si>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</si>
  <si>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</si>
  <si>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</si>
  <si>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</si>
  <si>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</si>
  <si>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</si>
  <si>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</si>
  <si>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</si>
  <si>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</si>
  <si>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</si>
  <si>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</si>
  <si>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</si>
  <si>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</si>
  <si>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</si>
  <si>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</si>
  <si>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</si>
  <si>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</si>
  <si>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</si>
  <si>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</si>
  <si>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</si>
  <si>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</si>
  <si>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</si>
  <si>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</si>
  <si>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</si>
  <si>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</si>
  <si>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</si>
  <si>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</si>
  <si>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</si>
  <si>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</si>
  <si>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</si>
  <si>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</si>
  <si>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</si>
  <si>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</si>
  <si>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</si>
  <si>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</si>
  <si>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</si>
  <si>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</si>
  <si>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</si>
  <si>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</si>
  <si>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</si>
  <si>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</si>
  <si>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</si>
  <si>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</si>
  <si>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</si>
  <si>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</si>
  <si>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</si>
  <si>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</si>
  <si>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</si>
  <si>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</si>
  <si>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</si>
  <si>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</si>
  <si>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</si>
  <si>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</si>
  <si>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</si>
  <si>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</si>
  <si>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</si>
  <si>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</si>
  <si>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</si>
  <si>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</si>
  <si>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</si>
  <si>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</si>
  <si>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</si>
  <si>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</si>
  <si>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</si>
  <si>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</si>
  <si>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</si>
  <si>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</si>
  <si>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</si>
  <si>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</si>
  <si>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</si>
  <si>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</si>
  <si>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</si>
  <si>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</si>
  <si>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</si>
  <si>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</si>
  <si>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</si>
  <si>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</si>
  <si>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</si>
  <si>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</si>
  <si>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</si>
  <si>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</si>
  <si>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</si>
  <si>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</si>
  <si>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</si>
  <si>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</si>
  <si>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</si>
  <si>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</si>
  <si>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</si>
  <si>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</si>
  <si>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</si>
  <si>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</si>
  <si>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</si>
  <si>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</si>
  <si>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</si>
  <si>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</si>
  <si>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</si>
  <si>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</si>
  <si>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</si>
  <si>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</si>
  <si>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</si>
  <si>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</si>
  <si>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</si>
  <si>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</si>
  <si>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</si>
  <si>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</si>
  <si>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</si>
  <si>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</si>
  <si>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</si>
  <si>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</si>
  <si>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</si>
  <si>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</si>
  <si>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</si>
  <si>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</si>
  <si>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</si>
  <si>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</si>
  <si>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</si>
  <si>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</si>
  <si>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</si>
  <si>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</si>
  <si>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</si>
  <si>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</si>
  <si>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</si>
  <si>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</si>
  <si>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</si>
  <si>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</si>
  <si>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</si>
  <si>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</si>
  <si>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</si>
  <si>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</si>
  <si>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</si>
  <si>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</si>
  <si>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</si>
  <si>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</si>
  <si>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</si>
  <si>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</si>
  <si>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</si>
  <si>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</si>
  <si>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</si>
  <si>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</si>
  <si>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</si>
  <si>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</si>
  <si>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</si>
  <si>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</si>
  <si>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</si>
  <si>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</si>
  <si>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</si>
  <si>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</si>
  <si>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</si>
  <si>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</si>
  <si>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</si>
  <si>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</si>
  <si>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</si>
  <si>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</si>
  <si>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</si>
  <si>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</si>
  <si>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</si>
  <si>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</si>
  <si>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</si>
  <si>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</si>
  <si>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</si>
  <si>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</si>
  <si>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</si>
  <si>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</si>
  <si>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</si>
  <si>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</si>
  <si>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</si>
  <si>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</si>
  <si>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</si>
  <si>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</si>
  <si>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</si>
  <si>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</si>
  <si>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</si>
  <si>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</si>
  <si>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</si>
  <si>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</si>
  <si>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</si>
  <si>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</si>
  <si>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</si>
  <si>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</si>
  <si>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</si>
  <si>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</si>
  <si>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</si>
  <si>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</si>
  <si>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</si>
  <si>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</si>
  <si>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</si>
  <si>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</si>
  <si>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</si>
  <si>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</si>
  <si>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</si>
  <si>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</si>
  <si>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</si>
  <si>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</si>
  <si>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</si>
  <si>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</si>
  <si>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</si>
  <si>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</si>
  <si>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</si>
  <si>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</si>
  <si>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</si>
  <si>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</si>
  <si>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</si>
  <si>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</si>
  <si>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</si>
  <si>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</si>
  <si>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</si>
  <si>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</si>
  <si>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</si>
  <si>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</si>
  <si>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</si>
  <si>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</si>
  <si>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</si>
  <si>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</si>
  <si>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</si>
  <si>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</si>
  <si>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</si>
  <si>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</si>
  <si>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</si>
  <si>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</si>
  <si>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</si>
  <si>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</si>
  <si>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</si>
  <si>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</si>
  <si>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</si>
  <si>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</si>
  <si>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</si>
  <si>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</si>
  <si>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</si>
  <si>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</si>
  <si>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</si>
  <si>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</si>
  <si>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</si>
  <si>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</si>
  <si>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</si>
  <si>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</si>
  <si>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</si>
  <si>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</si>
  <si>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</si>
  <si>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</si>
  <si>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</si>
  <si>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</si>
  <si>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</si>
  <si>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</si>
  <si>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</si>
  <si>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</si>
  <si>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</si>
  <si>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</si>
  <si>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</si>
  <si>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</si>
  <si>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</si>
  <si>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</si>
  <si>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</si>
  <si>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</si>
  <si>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</si>
  <si>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</si>
  <si>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</si>
  <si>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</si>
  <si>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</si>
  <si>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</si>
  <si>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</si>
  <si>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</si>
  <si>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</si>
  <si>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</si>
  <si>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</si>
  <si>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</si>
  <si>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</si>
  <si>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</si>
  <si>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</si>
  <si>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</si>
  <si>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</si>
  <si>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</si>
  <si>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</si>
  <si>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</si>
  <si>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</si>
  <si>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</si>
  <si>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</si>
  <si>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</si>
  <si>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</si>
  <si>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</si>
  <si>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</si>
  <si>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</si>
  <si>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</si>
  <si>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</si>
  <si>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</si>
  <si>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</si>
  <si>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</si>
  <si>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</si>
  <si>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</si>
  <si>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</si>
  <si>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</si>
  <si>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</si>
  <si>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</si>
  <si>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</si>
  <si>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</si>
  <si>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</si>
  <si>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</si>
  <si>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</si>
  <si>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</si>
  <si>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</si>
  <si>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</si>
  <si>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</si>
  <si>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</si>
  <si>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</si>
  <si>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</si>
  <si>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</si>
  <si>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</si>
  <si>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</si>
  <si>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</si>
  <si>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</si>
  <si>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</si>
  <si>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</si>
  <si>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</si>
  <si>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</si>
  <si>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</si>
  <si>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</si>
  <si>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</si>
  <si>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</si>
  <si>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</si>
  <si>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</si>
  <si>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</si>
  <si>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</si>
  <si>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</si>
  <si>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</si>
  <si>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</si>
  <si>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</si>
  <si>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</si>
  <si>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</si>
  <si>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</si>
  <si>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</si>
  <si>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</si>
  <si>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</si>
  <si>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</si>
  <si>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</si>
  <si>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</si>
  <si>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</si>
  <si>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</si>
  <si>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</si>
  <si>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</si>
  <si>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</si>
  <si>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</si>
  <si>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</si>
  <si>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</si>
  <si>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</si>
  <si>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</si>
  <si>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</si>
  <si>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</si>
  <si>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</si>
  <si>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</si>
  <si>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</si>
  <si>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</si>
  <si>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</si>
  <si>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</si>
  <si>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</si>
  <si>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</si>
  <si>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</si>
  <si>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</si>
  <si>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</si>
  <si>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</si>
  <si>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</si>
  <si>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</si>
  <si>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</si>
  <si>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</si>
  <si>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</si>
  <si>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</si>
  <si>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</si>
  <si>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</si>
  <si>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</si>
  <si>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</si>
  <si>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</si>
  <si>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</si>
  <si>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</si>
  <si>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</si>
  <si>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</si>
  <si>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</si>
  <si>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</si>
  <si>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</si>
  <si>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</si>
  <si>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</si>
  <si>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</si>
  <si>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</si>
  <si>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</si>
  <si>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</si>
  <si>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</si>
  <si>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</si>
  <si>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</si>
  <si>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</si>
  <si>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</si>
  <si>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</si>
  <si>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</si>
  <si>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</si>
  <si>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</si>
  <si>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</si>
  <si>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</si>
  <si>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</si>
  <si>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</si>
  <si>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</si>
  <si>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</si>
  <si>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</si>
  <si>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</si>
  <si>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</si>
  <si>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</si>
  <si>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</si>
  <si>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</si>
  <si>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</si>
  <si>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</si>
  <si>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</si>
  <si>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</si>
  <si>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</si>
  <si>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</si>
  <si>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</si>
  <si>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</si>
  <si>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</si>
  <si>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</si>
  <si>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</si>
  <si>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</si>
  <si>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</si>
  <si>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</si>
  <si>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</si>
  <si>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</si>
  <si>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</si>
  <si>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</si>
  <si>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</si>
  <si>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</si>
  <si>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</si>
  <si>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</si>
  <si>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</si>
  <si>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</si>
  <si>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</si>
  <si>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</si>
  <si>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</si>
  <si>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</si>
  <si>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</si>
  <si>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</si>
  <si>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</si>
  <si>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</si>
  <si>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</si>
  <si>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</si>
  <si>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</si>
  <si>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</si>
  <si>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</si>
  <si>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</si>
  <si>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</si>
  <si>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</si>
  <si>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</si>
  <si>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</si>
  <si>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</si>
  <si>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</si>
  <si>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</si>
  <si>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</si>
  <si>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</si>
  <si>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</si>
  <si>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</si>
  <si>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</si>
  <si>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</si>
  <si>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</si>
  <si>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</si>
  <si>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</si>
  <si>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</si>
  <si>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</si>
  <si>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</si>
  <si>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</si>
  <si>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</si>
  <si>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</si>
  <si>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</si>
  <si>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</si>
  <si>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</si>
  <si>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</si>
  <si>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</si>
  <si>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</si>
  <si>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</si>
  <si>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</si>
  <si>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</si>
  <si>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</si>
  <si>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</si>
  <si>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</si>
  <si>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</si>
  <si>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</si>
  <si>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</si>
  <si>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</si>
  <si>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</si>
  <si>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</si>
  <si>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</si>
  <si>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</si>
  <si>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</si>
  <si>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</si>
  <si>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</si>
  <si>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</si>
  <si>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</si>
  <si>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</si>
  <si>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</si>
  <si>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</si>
  <si>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</si>
  <si>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</si>
  <si>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</si>
  <si>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</si>
  <si>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</si>
  <si>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</si>
  <si>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</si>
  <si>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</si>
  <si>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</si>
  <si>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</si>
  <si>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</si>
  <si>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</si>
  <si>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</si>
  <si>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</si>
  <si>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</si>
  <si>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</si>
  <si>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</si>
  <si>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</si>
  <si>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</si>
  <si>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</si>
  <si>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</si>
  <si>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</si>
  <si>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</si>
  <si>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</si>
  <si>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</si>
  <si>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</si>
  <si>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</si>
  <si>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</si>
  <si>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</si>
  <si>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</si>
  <si>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</si>
  <si>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</si>
  <si>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</si>
  <si>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</si>
  <si>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</si>
  <si>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</si>
  <si>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</si>
  <si>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</si>
  <si>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</si>
  <si>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</si>
  <si>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</si>
  <si>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</si>
  <si>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</si>
  <si>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</si>
  <si>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</si>
  <si>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</si>
  <si>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</si>
  <si>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</si>
  <si>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</si>
  <si>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</si>
  <si>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</si>
  <si>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</si>
  <si>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</si>
  <si>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</si>
  <si>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</si>
  <si>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</si>
  <si>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</si>
  <si>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</si>
  <si>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</si>
  <si>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</si>
  <si>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</si>
  <si>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</si>
  <si>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</si>
  <si>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</si>
  <si>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</si>
  <si>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</si>
  <si>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</si>
  <si>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</si>
  <si>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</si>
  <si>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</si>
  <si>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</si>
  <si>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</si>
  <si>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</si>
  <si>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</si>
  <si>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</si>
  <si>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</si>
  <si>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</si>
  <si>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</si>
  <si>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</si>
  <si>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</si>
  <si>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</si>
  <si>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</si>
  <si>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</si>
  <si>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</si>
  <si>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</si>
  <si>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</si>
  <si>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</si>
  <si>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</si>
  <si>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</si>
  <si>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</si>
  <si>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</si>
  <si>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</si>
  <si>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</si>
  <si>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</si>
  <si>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</si>
  <si>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</si>
  <si>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</si>
  <si>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</si>
  <si>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</si>
  <si>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</si>
  <si>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</si>
  <si>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</si>
  <si>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</si>
  <si>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</si>
  <si>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</si>
  <si>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</si>
  <si>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</si>
  <si>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</si>
  <si>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</si>
  <si>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</si>
  <si>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</si>
  <si>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</si>
  <si>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</si>
  <si>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</si>
  <si>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</si>
  <si>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</si>
  <si>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</si>
  <si>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</si>
  <si>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</si>
  <si>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</si>
  <si>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</si>
  <si>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</si>
  <si>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</si>
  <si>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</si>
  <si>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</si>
  <si>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</si>
  <si>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</si>
  <si>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</si>
  <si>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</si>
  <si>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</si>
  <si>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</si>
  <si>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</si>
  <si>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</si>
  <si>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</si>
  <si>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</si>
  <si>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</si>
  <si>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</si>
  <si>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</si>
  <si>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</si>
  <si>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</si>
  <si>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</si>
  <si>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</si>
  <si>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</si>
  <si>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</si>
  <si>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</si>
  <si>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</si>
  <si>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</si>
  <si>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</si>
  <si>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</si>
  <si>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</si>
  <si>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</si>
  <si>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</si>
  <si>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</si>
  <si>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</si>
  <si>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</si>
  <si>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</si>
  <si>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</si>
  <si>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</si>
  <si>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</si>
  <si>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</si>
  <si>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</si>
  <si>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</si>
  <si>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</si>
  <si>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</si>
  <si>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</si>
  <si>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</si>
  <si>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</si>
  <si>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</si>
  <si>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</si>
  <si>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</si>
  <si>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</si>
  <si>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</si>
  <si>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</si>
  <si>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</si>
  <si>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</si>
  <si>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</si>
  <si>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</si>
  <si>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</si>
  <si>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</si>
  <si>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</si>
  <si>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</si>
  <si>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</si>
  <si>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</si>
  <si>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</si>
  <si>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</si>
  <si>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</si>
  <si>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</si>
  <si>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</si>
  <si>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</si>
  <si>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</si>
  <si>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</si>
  <si>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</si>
  <si>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</si>
  <si>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</si>
  <si>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</si>
  <si>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</si>
  <si>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</si>
  <si>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</si>
  <si>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</si>
  <si>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</si>
  <si>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</si>
  <si>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</si>
  <si>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</si>
  <si>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</si>
  <si>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</si>
  <si>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</si>
  <si>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</si>
  <si>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</si>
  <si>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</si>
  <si>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</si>
  <si>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</si>
  <si>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</si>
  <si>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</si>
  <si>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</si>
  <si>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</si>
  <si>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</si>
  <si>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</si>
  <si>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</si>
  <si>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</si>
  <si>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</si>
  <si>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</si>
  <si>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</si>
  <si>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</si>
  <si>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</si>
  <si>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</si>
  <si>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</si>
  <si>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</si>
  <si>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</si>
  <si>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</si>
  <si>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</si>
  <si>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</si>
  <si>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</si>
  <si>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</si>
  <si>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</si>
  <si>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</si>
  <si>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</si>
  <si>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</si>
  <si>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</si>
  <si>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</si>
  <si>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</si>
  <si>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</si>
  <si>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</si>
  <si>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</si>
  <si>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</si>
  <si>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</si>
  <si>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</si>
  <si>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</si>
  <si>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</si>
  <si>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</si>
  <si>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</si>
  <si>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</si>
  <si>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</si>
  <si>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</si>
  <si>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</si>
  <si>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</si>
  <si>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</si>
  <si>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</si>
  <si>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</si>
  <si>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</si>
  <si>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</si>
  <si>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</si>
  <si>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</si>
  <si>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</si>
  <si>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</si>
  <si>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</si>
  <si>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</si>
  <si>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</si>
  <si>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</si>
  <si>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</si>
  <si>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</si>
  <si>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</si>
  <si>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</si>
  <si>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</si>
  <si>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</si>
  <si>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</si>
  <si>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</si>
  <si>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</si>
  <si>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</si>
  <si>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</si>
  <si>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</si>
  <si>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</si>
  <si>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</si>
  <si>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</si>
  <si>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</si>
  <si>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</si>
  <si>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</si>
  <si>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</si>
  <si>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</si>
  <si>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</si>
  <si>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</si>
  <si>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</si>
  <si>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</si>
  <si>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</si>
  <si>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</si>
  <si>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</si>
  <si>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</si>
  <si>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</si>
  <si>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</si>
  <si>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</si>
  <si>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</si>
  <si>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</si>
  <si>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</si>
  <si>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</si>
  <si>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</si>
  <si>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</si>
  <si>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</si>
  <si>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</si>
  <si>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</si>
  <si>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</si>
  <si>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</si>
  <si>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</si>
  <si>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</si>
  <si>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</si>
  <si>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</si>
  <si>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</si>
  <si>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</si>
  <si>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</si>
  <si>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</si>
  <si>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</si>
  <si>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</si>
  <si>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</si>
  <si>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</si>
  <si>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</si>
  <si>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</si>
  <si>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</si>
  <si>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</si>
  <si>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</si>
  <si>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</si>
  <si>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</si>
  <si>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</si>
  <si>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</si>
  <si>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</si>
  <si>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</si>
  <si>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</si>
  <si>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</si>
  <si>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</si>
  <si>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</si>
  <si>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</si>
  <si>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</si>
  <si>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</si>
  <si>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</si>
  <si>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</si>
  <si>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</si>
  <si>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</si>
  <si>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</si>
  <si>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</si>
  <si>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</si>
  <si>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</si>
  <si>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</si>
  <si>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</si>
  <si>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</si>
  <si>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</si>
  <si>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</si>
  <si>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</si>
  <si>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</si>
  <si>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</si>
  <si>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</si>
  <si>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</si>
  <si>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</si>
  <si>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</si>
  <si>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</si>
  <si>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</si>
  <si>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</si>
  <si>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</si>
  <si>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</si>
  <si>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</si>
  <si>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</si>
  <si>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</si>
  <si>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</si>
  <si>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</si>
  <si>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</si>
  <si>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</si>
  <si>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</si>
  <si>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</si>
  <si>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</si>
  <si>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</si>
  <si>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</si>
  <si>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</si>
  <si>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</si>
  <si>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</si>
  <si>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</si>
  <si>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</si>
  <si>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</si>
  <si>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</si>
  <si>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</si>
  <si>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</si>
  <si>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</si>
  <si>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</si>
  <si>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</si>
  <si>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</si>
  <si>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</si>
  <si>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</si>
  <si>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</si>
  <si>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</si>
  <si>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</si>
  <si>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</si>
  <si>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</si>
  <si>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</si>
  <si>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</si>
  <si>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</si>
  <si>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</si>
  <si>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</si>
  <si>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</si>
  <si>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</si>
  <si>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</si>
  <si>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</si>
  <si>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</si>
  <si>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</si>
  <si>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</si>
  <si>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</si>
  <si>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</si>
  <si>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</si>
  <si>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</si>
  <si>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</si>
  <si>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</si>
  <si>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</si>
  <si>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</si>
  <si>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</si>
  <si>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</si>
  <si>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</si>
  <si>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</si>
  <si>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</si>
  <si>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</si>
  <si>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</si>
  <si>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</si>
  <si>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</si>
  <si>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</si>
  <si>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</si>
  <si>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</si>
  <si>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</si>
  <si>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</si>
  <si>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</si>
  <si>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</si>
  <si>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</si>
  <si>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</si>
  <si>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</si>
  <si>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</si>
  <si>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</si>
  <si>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</si>
  <si>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</si>
  <si>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</si>
  <si>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</si>
  <si>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</si>
  <si>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</si>
  <si>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</si>
  <si>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</si>
  <si>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</si>
  <si>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</si>
  <si>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</si>
  <si>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</si>
  <si>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</si>
  <si>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</si>
  <si>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</si>
  <si>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</si>
  <si>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</si>
  <si>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</si>
  <si>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</si>
  <si>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</si>
  <si>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</si>
  <si>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</si>
  <si>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</si>
  <si>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</si>
  <si>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</si>
  <si>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</si>
  <si>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</si>
  <si>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</si>
  <si>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</si>
  <si>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</si>
  <si>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</si>
  <si>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</si>
  <si>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</si>
  <si>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</si>
  <si>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</si>
  <si>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</si>
  <si>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</si>
  <si>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</si>
  <si>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</si>
  <si>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</si>
  <si>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</si>
  <si>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</si>
  <si>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</si>
  <si>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</si>
  <si>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</si>
  <si>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</si>
  <si>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</si>
  <si>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</si>
  <si>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</si>
  <si>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</si>
  <si>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</si>
  <si>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</si>
  <si>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</si>
  <si>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</si>
  <si>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</si>
  <si>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</si>
  <si>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</si>
  <si>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</si>
  <si>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</si>
  <si>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</si>
  <si>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</si>
  <si>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</si>
  <si>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</si>
  <si>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</si>
  <si>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</si>
  <si>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</si>
  <si>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</si>
  <si>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</si>
  <si>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</si>
  <si>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</si>
  <si>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</si>
  <si>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</si>
  <si>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</si>
  <si>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</si>
  <si>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</si>
  <si>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</si>
  <si>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</si>
  <si>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</si>
  <si>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</si>
  <si>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</si>
  <si>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</si>
  <si>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</si>
  <si>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</si>
  <si>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</si>
  <si>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</si>
  <si>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</si>
  <si>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</si>
  <si>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</si>
  <si>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</si>
  <si>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</si>
  <si>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</si>
  <si>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</si>
  <si>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</si>
  <si>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</si>
  <si>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</si>
  <si>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</si>
  <si>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</si>
  <si>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</si>
  <si>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</si>
  <si>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</si>
  <si>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</si>
  <si>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</si>
  <si>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</si>
  <si>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</si>
  <si>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</si>
  <si>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</si>
  <si>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</si>
  <si>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</si>
  <si>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</si>
  <si>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</si>
  <si>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</si>
  <si>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</si>
  <si>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</si>
  <si>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</si>
  <si>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</si>
  <si>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</si>
  <si>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</si>
  <si>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</si>
  <si>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</si>
  <si>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</si>
  <si>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</si>
  <si>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</si>
  <si>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</si>
  <si>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</si>
  <si>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</si>
  <si>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</si>
  <si>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</si>
  <si>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</si>
  <si>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</si>
  <si>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</si>
  <si>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</si>
  <si>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</si>
  <si>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</si>
  <si>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</si>
  <si>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</si>
  <si>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</si>
  <si>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</si>
  <si>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</si>
  <si>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</si>
  <si>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</si>
  <si>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</si>
  <si>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</si>
  <si>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</si>
  <si>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</si>
  <si>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</si>
  <si>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</si>
  <si>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</si>
  <si>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</si>
  <si>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</si>
  <si>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</si>
  <si>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</si>
  <si>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</si>
  <si>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</si>
  <si>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</si>
  <si>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</si>
  <si>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</si>
  <si>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</si>
  <si>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</si>
  <si>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</si>
  <si>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</si>
  <si>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</si>
  <si>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</si>
  <si>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</si>
  <si>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</si>
  <si>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</si>
  <si>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</si>
  <si>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</si>
  <si>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</si>
  <si>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</si>
  <si>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</si>
  <si>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</si>
  <si>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</si>
  <si>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</si>
  <si>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</si>
  <si>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</si>
  <si>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</si>
  <si>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</si>
  <si>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</si>
  <si>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</si>
  <si>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</si>
  <si>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</si>
  <si>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</si>
  <si>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</si>
  <si>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</si>
  <si>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</si>
  <si>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</si>
  <si>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</si>
  <si>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</si>
  <si>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</si>
  <si>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</si>
  <si>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</si>
  <si>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</si>
  <si>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</si>
  <si>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</si>
  <si>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</si>
  <si>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</si>
  <si>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</si>
  <si>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</si>
  <si>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</si>
  <si>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</si>
  <si>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</si>
  <si>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</si>
  <si>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</si>
  <si>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</si>
  <si>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</si>
  <si>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</si>
  <si>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</si>
  <si>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</si>
  <si>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</si>
  <si>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</si>
  <si>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</si>
  <si>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</si>
  <si>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</si>
  <si>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</si>
  <si>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</si>
  <si>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</si>
  <si>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</si>
  <si>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</si>
  <si>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</si>
  <si>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</si>
  <si>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</si>
  <si>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</si>
  <si>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</si>
  <si>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</si>
  <si>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</si>
  <si>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</si>
  <si>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</si>
  <si>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</si>
  <si>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</si>
  <si>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</si>
  <si>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</si>
  <si>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</si>
  <si>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</si>
  <si>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</si>
  <si>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</si>
  <si>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</si>
  <si>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</si>
  <si>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</si>
  <si>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</si>
  <si>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</si>
  <si>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</si>
  <si>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</si>
  <si>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</si>
  <si>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</si>
  <si>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</si>
  <si>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</si>
  <si>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</si>
  <si>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</si>
  <si>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</si>
  <si>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</si>
  <si>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</si>
  <si>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</si>
  <si>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</si>
  <si>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</si>
  <si>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</si>
  <si>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</si>
  <si>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</si>
  <si>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</si>
  <si>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</si>
  <si>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</si>
  <si>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</si>
  <si>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</si>
  <si>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</si>
  <si>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</si>
  <si>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</si>
  <si>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</si>
  <si>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</si>
  <si>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</si>
  <si>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</si>
  <si>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</si>
  <si>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</si>
  <si>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</si>
  <si>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</si>
  <si>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</si>
  <si>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</si>
  <si>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</si>
  <si>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</si>
  <si>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</si>
  <si>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</si>
  <si>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</si>
  <si>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</si>
  <si>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</si>
  <si>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</si>
  <si>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</si>
  <si>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</si>
  <si>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</si>
  <si>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</si>
  <si>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</si>
  <si>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</si>
  <si>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</si>
  <si>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</si>
  <si>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</si>
  <si>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</si>
  <si>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</si>
  <si>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</si>
  <si>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</si>
  <si>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</si>
  <si>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</si>
  <si>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</si>
  <si>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</si>
  <si>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</si>
  <si>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</si>
  <si>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</si>
  <si>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</si>
  <si>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</si>
  <si>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</si>
  <si>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</si>
  <si>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</si>
  <si>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</si>
  <si>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</si>
  <si>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</si>
  <si>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</si>
  <si>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</si>
  <si>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</si>
  <si>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</si>
  <si>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</si>
  <si>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</si>
  <si>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</si>
  <si>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</si>
  <si>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</si>
  <si>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</si>
  <si>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</si>
  <si>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</si>
  <si>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</si>
  <si>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</si>
  <si>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</si>
  <si>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</si>
  <si>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</si>
  <si>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</si>
  <si>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</si>
  <si>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</si>
  <si>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</si>
  <si>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</si>
  <si>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</si>
  <si>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</si>
  <si>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</si>
  <si>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</si>
  <si>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</si>
  <si>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</si>
  <si>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</si>
  <si>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</si>
  <si>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</si>
  <si>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</si>
  <si>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</si>
  <si>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</si>
  <si>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</si>
  <si>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</si>
  <si>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</si>
  <si>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</si>
  <si>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</si>
  <si>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</si>
  <si>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</si>
  <si>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</si>
  <si>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</si>
  <si>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</si>
  <si>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</si>
  <si>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</si>
  <si>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</si>
  <si>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</si>
  <si>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</si>
  <si>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</si>
  <si>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</si>
  <si>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</si>
  <si>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</si>
  <si>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</si>
  <si>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</si>
  <si>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</si>
  <si>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</si>
  <si>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</si>
  <si>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</si>
  <si>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</si>
  <si>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</si>
  <si>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</si>
  <si>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</si>
  <si>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</si>
  <si>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</si>
  <si>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</si>
  <si>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</si>
  <si>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</si>
  <si>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</si>
  <si>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</si>
  <si>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</si>
  <si>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</si>
  <si>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</si>
  <si>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</si>
  <si>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</si>
  <si>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</si>
  <si>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</si>
  <si>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</si>
  <si>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</si>
  <si>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</si>
  <si>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</si>
  <si>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</si>
  <si>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</si>
  <si>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</si>
  <si>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</si>
  <si>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</si>
  <si>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</si>
  <si>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</si>
  <si>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</si>
  <si>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</si>
  <si>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</si>
  <si>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</si>
  <si>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</si>
  <si>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</si>
  <si>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</si>
  <si>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</si>
  <si>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</si>
  <si>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</si>
  <si>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</si>
  <si>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</si>
  <si>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</si>
  <si>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</si>
  <si>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</si>
  <si>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</si>
  <si>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</si>
  <si>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</si>
  <si>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</si>
  <si>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</si>
  <si>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</si>
  <si>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</si>
  <si>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</si>
  <si>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</si>
  <si>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</si>
  <si>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</si>
  <si>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</si>
  <si>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</si>
  <si>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</si>
  <si>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</si>
  <si>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</si>
  <si>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</si>
  <si>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</si>
  <si>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</si>
  <si>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</si>
  <si>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</si>
  <si>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</si>
  <si>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</si>
  <si>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</si>
  <si>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</si>
  <si>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</si>
  <si>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</si>
  <si>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</si>
  <si>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</si>
  <si>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</si>
  <si>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</si>
  <si>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</si>
  <si>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</si>
  <si>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</si>
  <si>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</si>
  <si>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</si>
  <si>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</si>
  <si>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</si>
  <si>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</si>
  <si>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</si>
  <si>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</si>
  <si>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</si>
  <si>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</si>
  <si>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</si>
  <si>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</si>
  <si>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</si>
  <si>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</si>
  <si>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</si>
  <si>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</si>
  <si>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</si>
  <si>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</si>
  <si>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</si>
  <si>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</si>
  <si>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</si>
  <si>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</si>
  <si>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</si>
  <si>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</si>
  <si>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</si>
  <si>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</si>
  <si>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</si>
  <si>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</si>
  <si>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</si>
  <si>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</si>
  <si>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</si>
  <si>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</si>
  <si>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</si>
  <si>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</si>
  <si>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</si>
  <si>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</si>
  <si>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</si>
  <si>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</si>
  <si>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</si>
  <si>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</si>
  <si>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</si>
  <si>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</si>
  <si>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</si>
  <si>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</si>
  <si>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</si>
  <si>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</si>
  <si>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</si>
  <si>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</si>
  <si>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</si>
  <si>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</si>
  <si>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</si>
  <si>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</si>
  <si>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</si>
  <si>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</si>
  <si>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</si>
  <si>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</si>
  <si>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</si>
  <si>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</si>
  <si>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</si>
  <si>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</si>
  <si>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</si>
  <si>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</si>
  <si>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</si>
  <si>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</si>
  <si>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</si>
  <si>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</si>
  <si>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</si>
  <si>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</si>
  <si>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</si>
  <si>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</si>
  <si>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</si>
  <si>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</si>
  <si>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</si>
  <si>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</si>
  <si>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</si>
  <si>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</si>
  <si>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</si>
  <si>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</si>
  <si>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</si>
  <si>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</si>
  <si>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</si>
  <si>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</si>
  <si>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</si>
  <si>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</si>
  <si>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</si>
  <si>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</si>
  <si>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</si>
  <si>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</si>
  <si>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</si>
  <si>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</si>
  <si>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</si>
  <si>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</si>
  <si>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</si>
  <si>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</si>
  <si>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</si>
  <si>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</si>
  <si>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</si>
  <si>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</si>
  <si>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</si>
  <si>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</si>
  <si>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</si>
  <si>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</si>
  <si>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</si>
  <si>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</si>
  <si>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</si>
  <si>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</si>
  <si>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</si>
  <si>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</si>
  <si>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</si>
  <si>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</si>
  <si>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</si>
  <si>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</si>
  <si>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</si>
  <si>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</si>
  <si>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</si>
  <si>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</si>
  <si>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</si>
  <si>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</si>
  <si>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</si>
  <si>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</si>
  <si>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</si>
  <si>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</si>
  <si>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</si>
  <si>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</si>
  <si>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</si>
  <si>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</si>
  <si>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</si>
  <si>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</si>
  <si>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</si>
  <si>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</si>
  <si>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</si>
  <si>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</si>
  <si>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</si>
  <si>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</si>
  <si>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</si>
  <si>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</si>
  <si>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</si>
  <si>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</si>
  <si>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</si>
  <si>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</si>
  <si>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</si>
  <si>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</si>
  <si>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</si>
  <si>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</si>
  <si>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</si>
  <si>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</si>
  <si>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</si>
  <si>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</si>
  <si>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</si>
  <si>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</si>
  <si>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</si>
  <si>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</si>
  <si>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</si>
  <si>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</si>
  <si>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</si>
  <si>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</si>
  <si>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</si>
  <si>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</si>
  <si>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</si>
  <si>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</si>
  <si>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</si>
  <si>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</si>
  <si>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</si>
  <si>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</si>
  <si>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</si>
  <si>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</si>
  <si>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</si>
  <si>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</si>
  <si>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</si>
  <si>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</si>
  <si>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</si>
  <si>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</si>
  <si>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</si>
  <si>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</si>
  <si>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</si>
  <si>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</si>
  <si>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</si>
  <si>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</si>
  <si>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</si>
  <si>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</si>
  <si>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</si>
  <si>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</si>
  <si>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</si>
  <si>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</si>
  <si>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</si>
  <si>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</si>
  <si>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</si>
  <si>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</si>
  <si>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</si>
  <si>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</si>
  <si>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</si>
  <si>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</si>
  <si>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</si>
  <si>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</si>
  <si>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</si>
  <si>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</si>
  <si>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</si>
  <si>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</si>
  <si>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</si>
  <si>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</si>
  <si>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</si>
  <si>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</si>
  <si>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</si>
  <si>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</si>
  <si>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</si>
  <si>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</si>
  <si>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</si>
  <si>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</si>
  <si>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</si>
  <si>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</si>
  <si>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</si>
  <si>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</si>
  <si>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</si>
  <si>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</si>
  <si>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</si>
  <si>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</si>
  <si>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</si>
  <si>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</si>
  <si>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</si>
  <si>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</si>
  <si>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</si>
  <si>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</si>
  <si>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</si>
  <si>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</si>
  <si>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</si>
  <si>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</si>
  <si>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</si>
  <si>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</si>
  <si>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</si>
  <si>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</si>
  <si>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</si>
  <si>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</si>
  <si>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</si>
  <si>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</si>
  <si>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</si>
  <si>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</si>
  <si>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</si>
  <si>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</si>
  <si>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</si>
  <si>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</si>
  <si>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</si>
  <si>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</si>
  <si>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</si>
  <si>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</si>
  <si>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</si>
  <si>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</si>
  <si>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</t>
    </rPh>
    <rPh sb="2" eb="3">
      <t>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</si>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</sst>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97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资产配置三维饼图!$O$3:$O$8</c:f>
              <c:strCache>
                <c:ptCount val="6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</c:strCache>
            </c:strRef>
          </c:cat>
          <c:val>
            <c:numRef>
              <c:f>资产配置三维饼图!$P$3:$P$8</c:f>
              <c:numCache>
                <c:formatCode>0.00%</c:formatCode>
                <c:ptCount val="6"/>
                <c:pt idx="0">
                  <c:v>0.65723123002547501</c:v>
                </c:pt>
                <c:pt idx="1">
                  <c:v>2.0960619404544599E-2</c:v>
                </c:pt>
                <c:pt idx="2">
                  <c:v>1.6145760200855695E-2</c:v>
                </c:pt>
                <c:pt idx="3">
                  <c:v>3.6647176210860215E-2</c:v>
                </c:pt>
                <c:pt idx="4">
                  <c:v>5.8465224674520887E-2</c:v>
                </c:pt>
                <c:pt idx="5">
                  <c:v>0.21054998948374348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9.7880779075583284</c:v>
                </c:pt>
                <c:pt idx="1">
                  <c:v>11.36622394649374</c:v>
                </c:pt>
                <c:pt idx="2">
                  <c:v>21.633080108668185</c:v>
                </c:pt>
                <c:pt idx="3">
                  <c:v>29.522340239990651</c:v>
                </c:pt>
                <c:pt idx="4">
                  <c:v>31.568188485981963</c:v>
                </c:pt>
                <c:pt idx="5">
                  <c:v>29.445647024026695</c:v>
                </c:pt>
                <c:pt idx="6">
                  <c:v>23.560825948031592</c:v>
                </c:pt>
                <c:pt idx="7">
                  <c:v>25.074858016687536</c:v>
                </c:pt>
                <c:pt idx="8">
                  <c:v>27.611121357189571</c:v>
                </c:pt>
                <c:pt idx="9">
                  <c:v>0.99919307511737088</c:v>
                </c:pt>
                <c:pt idx="10">
                  <c:v>1.3244841626055306</c:v>
                </c:pt>
                <c:pt idx="11">
                  <c:v>22.043119548486402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8</xdr:row>
      <xdr:rowOff>9524</xdr:rowOff>
    </xdr:from>
    <xdr:to>
      <xdr:col>17</xdr:col>
      <xdr:colOff>790575</xdr:colOff>
      <xdr:row>27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A53" zoomScale="110" zoomScaleNormal="110" zoomScalePageLayoutView="110" workbookViewId="0">
      <selection activeCell="M84" sqref="M8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8.7805386765624716E-2</v>
      </c>
      <c r="T2" s="18" t="s">
        <v>209</v>
      </c>
      <c r="U2" s="18">
        <f>(SUM(S4:S6) - SUM(Q4:Q6))/SUM(Q4:Q6)</f>
        <v>7.8310220317719198E-2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37520.35</v>
      </c>
      <c r="S4" s="68">
        <f>Q4+R4</f>
        <v>360197.38999999996</v>
      </c>
      <c r="T4" s="26">
        <f>S4/Q4-1</f>
        <v>0.11627833824185307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-1811.96</v>
      </c>
      <c r="S5" s="68">
        <f>Q5+R5</f>
        <v>10188.040000000001</v>
      </c>
      <c r="T5" s="26">
        <f>S5/Q5-1</f>
        <v>-0.15099666666666656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35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36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35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36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35">
        <f>(SUMIF(C:C,"=可转债",M:M)*-1)/$Q$2</f>
        <v>5.6000000000000001E-2</v>
      </c>
    </row>
    <row r="44" spans="1:27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36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36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854495.29999999981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0.24547351002693174</v>
      </c>
      <c r="N147" s="12"/>
      <c r="P147" s="63"/>
    </row>
    <row r="148" spans="1:16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29.445647024026695</v>
      </c>
      <c r="R167" s="15"/>
    </row>
    <row r="168" spans="14:18">
      <c r="R168" s="15"/>
    </row>
  </sheetData>
  <autoFilter ref="A1:W119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tabSelected="1" zoomScaleNormal="100" workbookViewId="0">
      <selection activeCell="I20" sqref="I20"/>
    </sheetView>
  </sheetViews>
  <sheetFormatPr defaultColWidth="11" defaultRowHeight="14.25"/>
  <cols>
    <col min="1" max="1" width="9" bestFit="1" customWidth="1"/>
    <col min="2" max="2" width="6.875" bestFit="1" customWidth="1"/>
    <col min="3" max="3" width="13" bestFit="1" customWidth="1"/>
    <col min="4" max="4" width="6.875" bestFit="1" customWidth="1"/>
    <col min="6" max="7" width="9.875" bestFit="1" customWidth="1"/>
    <col min="8" max="8" width="8.875" bestFit="1" customWidth="1"/>
    <col min="9" max="9" width="9" bestFit="1" customWidth="1"/>
    <col min="10" max="10" width="9.875" bestFit="1" customWidth="1"/>
    <col min="11" max="11" width="9" bestFit="1" customWidth="1"/>
    <col min="13" max="13" width="15.125" bestFit="1" customWidth="1"/>
    <col min="16" max="16" width="9.5" bestFit="1" customWidth="1"/>
  </cols>
  <sheetData>
    <row r="1" spans="1:16">
      <c r="A1" s="127" t="s">
        <v>7547</v>
      </c>
      <c r="B1" s="134" t="s">
        <v>7591</v>
      </c>
      <c r="C1" s="127" t="s">
        <v>7548</v>
      </c>
      <c r="D1" s="134" t="s">
        <v>7592</v>
      </c>
      <c r="E1" s="128" t="s">
        <v>7549</v>
      </c>
      <c r="F1" s="128" t="s">
        <v>7550</v>
      </c>
      <c r="G1" s="128" t="s">
        <v>7551</v>
      </c>
      <c r="H1" s="128" t="s">
        <v>7552</v>
      </c>
      <c r="I1" s="128" t="s">
        <v>7553</v>
      </c>
      <c r="J1" s="128" t="s">
        <v>7554</v>
      </c>
      <c r="K1" s="128" t="s">
        <v>7593</v>
      </c>
      <c r="L1" s="129"/>
      <c r="M1" s="128" t="s">
        <v>7596</v>
      </c>
      <c r="O1" s="134" t="s">
        <v>7598</v>
      </c>
      <c r="P1" s="134"/>
    </row>
    <row r="2" spans="1:16">
      <c r="A2" s="136" t="s">
        <v>7555</v>
      </c>
      <c r="B2" s="135">
        <f>SUM(K2:K14)</f>
        <v>0.65723123002547501</v>
      </c>
      <c r="C2" s="136" t="s">
        <v>7556</v>
      </c>
      <c r="D2" s="135">
        <f>SUM(K2:K3)</f>
        <v>6.0035467656772201E-2</v>
      </c>
      <c r="E2" s="128" t="s">
        <v>7557</v>
      </c>
      <c r="F2" s="130">
        <v>7592.4</v>
      </c>
      <c r="G2" s="130"/>
      <c r="H2" s="130"/>
      <c r="I2" s="130"/>
      <c r="J2" s="130">
        <f>SUM(F2:I2)</f>
        <v>7592.4</v>
      </c>
      <c r="K2" s="131">
        <f t="shared" ref="K2:K25" si="0">J2/$J$25</f>
        <v>7.7600958260018154E-3</v>
      </c>
      <c r="L2" s="129"/>
      <c r="M2" s="128">
        <f>M4+M6+M8</f>
        <v>916634.06</v>
      </c>
      <c r="O2" s="134" t="s">
        <v>7599</v>
      </c>
      <c r="P2" s="134" t="s">
        <v>7600</v>
      </c>
    </row>
    <row r="3" spans="1:16">
      <c r="A3" s="136"/>
      <c r="B3" s="136"/>
      <c r="C3" s="136"/>
      <c r="D3" s="136"/>
      <c r="E3" s="128" t="s">
        <v>7558</v>
      </c>
      <c r="F3" s="130">
        <v>28490</v>
      </c>
      <c r="G3" s="130">
        <v>22655.7</v>
      </c>
      <c r="H3" s="130"/>
      <c r="I3" s="130"/>
      <c r="J3" s="130">
        <f t="shared" ref="J3:J23" si="1">SUM(F3:I3)</f>
        <v>51145.7</v>
      </c>
      <c r="K3" s="131">
        <f t="shared" si="0"/>
        <v>5.2275371830770384E-2</v>
      </c>
      <c r="L3" s="129"/>
      <c r="M3" s="128" t="s">
        <v>7597</v>
      </c>
      <c r="N3" s="129"/>
      <c r="O3" s="128" t="s">
        <v>7555</v>
      </c>
      <c r="P3" s="132">
        <f>B2</f>
        <v>0.65723123002547501</v>
      </c>
    </row>
    <row r="4" spans="1:16">
      <c r="A4" s="136"/>
      <c r="B4" s="136"/>
      <c r="C4" s="136" t="s">
        <v>7559</v>
      </c>
      <c r="D4" s="135">
        <f>SUM(K4:K6)</f>
        <v>0.25549813991349341</v>
      </c>
      <c r="E4" s="128" t="s">
        <v>7560</v>
      </c>
      <c r="F4" s="130">
        <v>171777.3</v>
      </c>
      <c r="G4" s="130">
        <v>16037.31</v>
      </c>
      <c r="H4" s="130"/>
      <c r="I4" s="130"/>
      <c r="J4" s="130">
        <f t="shared" si="1"/>
        <v>187814.61</v>
      </c>
      <c r="K4" s="131">
        <f t="shared" si="0"/>
        <v>0.19196293281744362</v>
      </c>
      <c r="L4" s="129"/>
      <c r="M4" s="128">
        <v>800000</v>
      </c>
      <c r="N4" s="129"/>
      <c r="O4" s="134" t="s">
        <v>7572</v>
      </c>
      <c r="P4" s="60">
        <f>B15</f>
        <v>2.0960619404544599E-2</v>
      </c>
    </row>
    <row r="5" spans="1:16">
      <c r="A5" s="136"/>
      <c r="B5" s="136"/>
      <c r="C5" s="136"/>
      <c r="D5" s="136"/>
      <c r="E5" s="128" t="s">
        <v>7561</v>
      </c>
      <c r="F5" s="130">
        <v>38711.4</v>
      </c>
      <c r="G5" s="130"/>
      <c r="H5" s="130"/>
      <c r="I5" s="130"/>
      <c r="J5" s="130">
        <f t="shared" si="1"/>
        <v>38711.4</v>
      </c>
      <c r="K5" s="131">
        <f t="shared" si="0"/>
        <v>3.9566431373305767E-2</v>
      </c>
      <c r="L5" s="129"/>
      <c r="M5" s="128" t="s">
        <v>7594</v>
      </c>
      <c r="N5" s="129"/>
      <c r="O5" s="134" t="s">
        <v>7576</v>
      </c>
      <c r="P5" s="60">
        <f>B17</f>
        <v>1.6145760200855695E-2</v>
      </c>
    </row>
    <row r="6" spans="1:16">
      <c r="A6" s="136"/>
      <c r="B6" s="136"/>
      <c r="C6" s="136"/>
      <c r="D6" s="136"/>
      <c r="E6" s="128" t="s">
        <v>40</v>
      </c>
      <c r="F6" s="130">
        <v>15032.8</v>
      </c>
      <c r="G6" s="130">
        <f>8418.01</f>
        <v>8418.01</v>
      </c>
      <c r="H6" s="130"/>
      <c r="I6" s="130"/>
      <c r="J6" s="130">
        <f t="shared" si="1"/>
        <v>23450.809999999998</v>
      </c>
      <c r="K6" s="131">
        <f t="shared" si="0"/>
        <v>2.3968775722744012E-2</v>
      </c>
      <c r="L6" s="129"/>
      <c r="M6" s="128">
        <v>100000</v>
      </c>
      <c r="N6" s="129"/>
      <c r="O6" s="134" t="s">
        <v>7578</v>
      </c>
      <c r="P6" s="60">
        <f>B18</f>
        <v>3.6647176210860215E-2</v>
      </c>
    </row>
    <row r="7" spans="1:16">
      <c r="A7" s="136"/>
      <c r="B7" s="136"/>
      <c r="C7" s="127" t="s">
        <v>7562</v>
      </c>
      <c r="D7" s="133">
        <f>SUM(K7:K7)</f>
        <v>7.6676142983394008E-2</v>
      </c>
      <c r="E7" s="128" t="s">
        <v>7563</v>
      </c>
      <c r="F7" s="130"/>
      <c r="G7" s="130">
        <v>75019.17</v>
      </c>
      <c r="H7" s="130"/>
      <c r="I7" s="130"/>
      <c r="J7" s="130">
        <f t="shared" si="1"/>
        <v>75019.17</v>
      </c>
      <c r="K7" s="131">
        <f t="shared" si="0"/>
        <v>7.6676142983394008E-2</v>
      </c>
      <c r="L7" s="129"/>
      <c r="M7" s="128" t="s">
        <v>7595</v>
      </c>
      <c r="N7" s="129"/>
      <c r="O7" s="134" t="s">
        <v>7580</v>
      </c>
      <c r="P7" s="60">
        <f>B21</f>
        <v>5.8465224674520887E-2</v>
      </c>
    </row>
    <row r="8" spans="1:16">
      <c r="A8" s="136"/>
      <c r="B8" s="136"/>
      <c r="C8" s="136" t="s">
        <v>7564</v>
      </c>
      <c r="D8" s="135">
        <f>SUM(K8:K14)</f>
        <v>0.26502147947181554</v>
      </c>
      <c r="E8" s="128" t="s">
        <v>7565</v>
      </c>
      <c r="F8" s="130"/>
      <c r="G8" s="130">
        <v>63801.1</v>
      </c>
      <c r="H8" s="130"/>
      <c r="I8" s="130"/>
      <c r="J8" s="130">
        <f t="shared" si="1"/>
        <v>63801.1</v>
      </c>
      <c r="K8" s="131">
        <f t="shared" si="0"/>
        <v>6.5210295796365378E-2</v>
      </c>
      <c r="L8" s="129"/>
      <c r="M8" s="128">
        <v>16634.060000000001</v>
      </c>
      <c r="N8" s="129"/>
      <c r="O8" s="134" t="s">
        <v>7585</v>
      </c>
      <c r="P8" s="60">
        <f>B23</f>
        <v>0.21054998948374348</v>
      </c>
    </row>
    <row r="9" spans="1:16">
      <c r="A9" s="136"/>
      <c r="B9" s="136"/>
      <c r="C9" s="136"/>
      <c r="D9" s="136"/>
      <c r="E9" s="128" t="s">
        <v>7566</v>
      </c>
      <c r="F9" s="130">
        <v>18864</v>
      </c>
      <c r="G9" s="130">
        <v>33414.82</v>
      </c>
      <c r="H9" s="130"/>
      <c r="I9" s="130"/>
      <c r="J9" s="130">
        <f t="shared" si="1"/>
        <v>52278.82</v>
      </c>
      <c r="K9" s="131">
        <f t="shared" si="0"/>
        <v>5.3433519423410285E-2</v>
      </c>
      <c r="L9" s="129"/>
      <c r="M9" s="129"/>
      <c r="N9" s="129"/>
      <c r="O9" s="129"/>
      <c r="P9" s="129"/>
    </row>
    <row r="10" spans="1:16">
      <c r="A10" s="136"/>
      <c r="B10" s="136"/>
      <c r="C10" s="136"/>
      <c r="D10" s="136"/>
      <c r="E10" s="128" t="s">
        <v>7567</v>
      </c>
      <c r="F10" s="130">
        <v>30383.1</v>
      </c>
      <c r="G10" s="130"/>
      <c r="H10" s="130"/>
      <c r="I10" s="130"/>
      <c r="J10" s="130">
        <f t="shared" si="1"/>
        <v>30383.1</v>
      </c>
      <c r="K10" s="131">
        <f t="shared" si="0"/>
        <v>3.1054181482929741E-2</v>
      </c>
      <c r="L10" s="129"/>
      <c r="M10" s="129"/>
      <c r="N10" s="129"/>
      <c r="O10" s="129"/>
      <c r="P10" s="129"/>
    </row>
    <row r="11" spans="1:16">
      <c r="A11" s="136"/>
      <c r="B11" s="136"/>
      <c r="C11" s="136"/>
      <c r="D11" s="136"/>
      <c r="E11" s="128" t="s">
        <v>7568</v>
      </c>
      <c r="F11" s="130">
        <v>27885</v>
      </c>
      <c r="G11" s="130">
        <v>8230</v>
      </c>
      <c r="H11" s="130">
        <v>10273.370000000001</v>
      </c>
      <c r="I11" s="130"/>
      <c r="J11" s="130">
        <f t="shared" si="1"/>
        <v>46388.37</v>
      </c>
      <c r="K11" s="131">
        <f t="shared" si="0"/>
        <v>4.7412965124601955E-2</v>
      </c>
      <c r="L11" s="129"/>
      <c r="M11" s="129"/>
      <c r="N11" s="129"/>
      <c r="O11" s="129"/>
      <c r="P11" s="129"/>
    </row>
    <row r="12" spans="1:16">
      <c r="A12" s="136"/>
      <c r="B12" s="136"/>
      <c r="C12" s="136"/>
      <c r="D12" s="136"/>
      <c r="E12" s="128" t="s">
        <v>7569</v>
      </c>
      <c r="F12" s="130"/>
      <c r="G12" s="130">
        <v>9050.2900000000009</v>
      </c>
      <c r="H12" s="130"/>
      <c r="I12" s="130"/>
      <c r="J12" s="130">
        <f t="shared" si="1"/>
        <v>9050.2900000000009</v>
      </c>
      <c r="K12" s="131">
        <f t="shared" si="0"/>
        <v>9.2501867200234424E-3</v>
      </c>
      <c r="L12" s="129"/>
      <c r="M12" s="129"/>
      <c r="N12" s="129"/>
      <c r="O12" s="129"/>
      <c r="P12" s="129"/>
    </row>
    <row r="13" spans="1:16">
      <c r="A13" s="136"/>
      <c r="B13" s="136"/>
      <c r="C13" s="136"/>
      <c r="D13" s="136"/>
      <c r="E13" s="128" t="s">
        <v>7570</v>
      </c>
      <c r="F13" s="130"/>
      <c r="G13" s="130">
        <v>22926.880000000001</v>
      </c>
      <c r="H13" s="130"/>
      <c r="I13" s="130"/>
      <c r="J13" s="130">
        <f t="shared" si="1"/>
        <v>22926.880000000001</v>
      </c>
      <c r="K13" s="131">
        <f t="shared" si="0"/>
        <v>2.3433273509199267E-2</v>
      </c>
      <c r="L13" s="129"/>
      <c r="M13" s="129"/>
      <c r="N13" s="129"/>
      <c r="O13" s="129"/>
      <c r="P13" s="129"/>
    </row>
    <row r="14" spans="1:16">
      <c r="A14" s="136"/>
      <c r="B14" s="136"/>
      <c r="C14" s="136"/>
      <c r="D14" s="136"/>
      <c r="E14" s="128" t="s">
        <v>7571</v>
      </c>
      <c r="F14" s="130">
        <v>34465.800000000003</v>
      </c>
      <c r="G14" s="130"/>
      <c r="H14" s="130"/>
      <c r="I14" s="130"/>
      <c r="J14" s="130">
        <f t="shared" si="1"/>
        <v>34465.800000000003</v>
      </c>
      <c r="K14" s="131">
        <f t="shared" si="0"/>
        <v>3.5227057415285472E-2</v>
      </c>
      <c r="L14" s="129"/>
      <c r="M14" s="129"/>
      <c r="N14" s="129"/>
      <c r="O14" s="129"/>
      <c r="P14" s="129"/>
    </row>
    <row r="15" spans="1:16">
      <c r="A15" s="136" t="s">
        <v>7572</v>
      </c>
      <c r="B15" s="135">
        <f>SUM(K15:K16)</f>
        <v>2.0960619404544599E-2</v>
      </c>
      <c r="C15" s="127" t="s">
        <v>7573</v>
      </c>
      <c r="D15" s="133">
        <f>SUM(K15:K15)</f>
        <v>6.957011150093749E-3</v>
      </c>
      <c r="E15" s="128" t="s">
        <v>7574</v>
      </c>
      <c r="F15" s="130"/>
      <c r="G15" s="130">
        <v>6806.67</v>
      </c>
      <c r="H15" s="130"/>
      <c r="I15" s="130"/>
      <c r="J15" s="130">
        <f t="shared" si="1"/>
        <v>6806.67</v>
      </c>
      <c r="K15" s="131">
        <f t="shared" si="0"/>
        <v>6.957011150093749E-3</v>
      </c>
      <c r="L15" s="129"/>
      <c r="M15" s="129"/>
      <c r="P15" s="129"/>
    </row>
    <row r="16" spans="1:16">
      <c r="A16" s="136"/>
      <c r="B16" s="136"/>
      <c r="C16" s="127" t="s">
        <v>7575</v>
      </c>
      <c r="D16" s="133">
        <f>SUM(K16:K16)</f>
        <v>1.4003608254450848E-2</v>
      </c>
      <c r="E16" s="128" t="s">
        <v>7432</v>
      </c>
      <c r="F16" s="130"/>
      <c r="G16" s="130">
        <v>13700.99</v>
      </c>
      <c r="H16" s="130"/>
      <c r="I16" s="130"/>
      <c r="J16" s="130">
        <f t="shared" si="1"/>
        <v>13700.99</v>
      </c>
      <c r="K16" s="131">
        <f t="shared" si="0"/>
        <v>1.4003608254450848E-2</v>
      </c>
      <c r="L16" s="129"/>
      <c r="M16" s="129"/>
      <c r="P16" s="129"/>
    </row>
    <row r="17" spans="1:16">
      <c r="A17" s="127" t="s">
        <v>7576</v>
      </c>
      <c r="B17" s="133">
        <f>SUM(K17:K17)</f>
        <v>1.6145760200855695E-2</v>
      </c>
      <c r="C17" s="127" t="s">
        <v>7577</v>
      </c>
      <c r="D17" s="133">
        <f>SUM(K17:K17)</f>
        <v>1.6145760200855695E-2</v>
      </c>
      <c r="E17" s="128" t="s">
        <v>119</v>
      </c>
      <c r="F17" s="130"/>
      <c r="G17" s="130">
        <v>15796.85</v>
      </c>
      <c r="H17" s="130"/>
      <c r="I17" s="130"/>
      <c r="J17" s="130">
        <f t="shared" si="1"/>
        <v>15796.85</v>
      </c>
      <c r="K17" s="131">
        <f t="shared" si="0"/>
        <v>1.6145760200855695E-2</v>
      </c>
      <c r="L17" s="129"/>
      <c r="M17" s="129"/>
      <c r="P17" s="129"/>
    </row>
    <row r="18" spans="1:16">
      <c r="A18" s="136" t="s">
        <v>7578</v>
      </c>
      <c r="B18" s="135">
        <f>SUM(K18:K20)</f>
        <v>3.6647176210860215E-2</v>
      </c>
      <c r="C18" s="127" t="s">
        <v>7437</v>
      </c>
      <c r="D18" s="133">
        <f>SUM(K18:K18)</f>
        <v>1.2778350407881323E-2</v>
      </c>
      <c r="E18" s="128" t="s">
        <v>7437</v>
      </c>
      <c r="F18" s="130"/>
      <c r="G18" s="130">
        <v>12502.21</v>
      </c>
      <c r="H18" s="130"/>
      <c r="I18" s="130"/>
      <c r="J18" s="130">
        <f t="shared" si="1"/>
        <v>12502.21</v>
      </c>
      <c r="K18" s="131">
        <f t="shared" si="0"/>
        <v>1.2778350407881323E-2</v>
      </c>
      <c r="L18" s="129"/>
      <c r="M18" s="129"/>
      <c r="P18" s="129"/>
    </row>
    <row r="19" spans="1:16">
      <c r="A19" s="136"/>
      <c r="B19" s="136"/>
      <c r="C19" s="127" t="s">
        <v>143</v>
      </c>
      <c r="D19" s="133">
        <f>SUM(K19:K19)</f>
        <v>6.8855979085149666E-3</v>
      </c>
      <c r="E19" s="128" t="s">
        <v>143</v>
      </c>
      <c r="F19" s="130">
        <v>6736.8</v>
      </c>
      <c r="G19" s="130"/>
      <c r="H19" s="130"/>
      <c r="I19" s="130"/>
      <c r="J19" s="130">
        <f t="shared" si="1"/>
        <v>6736.8</v>
      </c>
      <c r="K19" s="131">
        <f t="shared" si="0"/>
        <v>6.8855979085149666E-3</v>
      </c>
      <c r="L19" s="129"/>
      <c r="M19" s="129"/>
      <c r="P19" s="129"/>
    </row>
    <row r="20" spans="1:16">
      <c r="A20" s="136"/>
      <c r="B20" s="136"/>
      <c r="C20" s="127" t="s">
        <v>7579</v>
      </c>
      <c r="D20" s="133">
        <f>SUM(K20:K20)</f>
        <v>1.6983227894463923E-2</v>
      </c>
      <c r="E20" s="128" t="s">
        <v>7579</v>
      </c>
      <c r="F20" s="130"/>
      <c r="G20" s="130"/>
      <c r="H20" s="130"/>
      <c r="I20" s="130">
        <v>16616.22</v>
      </c>
      <c r="J20" s="130">
        <f t="shared" si="1"/>
        <v>16616.22</v>
      </c>
      <c r="K20" s="131">
        <f t="shared" si="0"/>
        <v>1.6983227894463923E-2</v>
      </c>
      <c r="L20" s="129"/>
      <c r="M20" s="129"/>
      <c r="P20" s="129"/>
    </row>
    <row r="21" spans="1:16">
      <c r="A21" s="136" t="s">
        <v>7580</v>
      </c>
      <c r="B21" s="135">
        <f>SUM(K21:K22)</f>
        <v>5.8465224674520887E-2</v>
      </c>
      <c r="C21" s="127" t="s">
        <v>7581</v>
      </c>
      <c r="D21" s="133">
        <f>SUM(K21:K21)</f>
        <v>5.1327283625696982E-2</v>
      </c>
      <c r="E21" s="128" t="s">
        <v>7582</v>
      </c>
      <c r="F21" s="130"/>
      <c r="G21" s="130">
        <f>36013.73+7286.88+6917.49</f>
        <v>50218.1</v>
      </c>
      <c r="H21" s="130"/>
      <c r="I21" s="130"/>
      <c r="J21" s="130">
        <f t="shared" si="1"/>
        <v>50218.1</v>
      </c>
      <c r="K21" s="131">
        <f t="shared" si="0"/>
        <v>5.1327283625696982E-2</v>
      </c>
      <c r="L21" s="129"/>
      <c r="M21" s="129"/>
      <c r="P21" s="129"/>
    </row>
    <row r="22" spans="1:16">
      <c r="A22" s="136"/>
      <c r="B22" s="136"/>
      <c r="C22" s="127" t="s">
        <v>7583</v>
      </c>
      <c r="D22" s="133">
        <f>SUM(K22:K22)</f>
        <v>7.1379410488239051E-3</v>
      </c>
      <c r="E22" s="128" t="s">
        <v>7584</v>
      </c>
      <c r="F22" s="130"/>
      <c r="G22" s="130">
        <v>6983.69</v>
      </c>
      <c r="H22" s="130"/>
      <c r="I22" s="130"/>
      <c r="J22" s="130">
        <f t="shared" si="1"/>
        <v>6983.69</v>
      </c>
      <c r="K22" s="131">
        <f t="shared" si="0"/>
        <v>7.1379410488239051E-3</v>
      </c>
      <c r="L22" s="129"/>
      <c r="M22" s="129"/>
      <c r="P22" s="129"/>
    </row>
    <row r="23" spans="1:16">
      <c r="A23" s="136" t="s">
        <v>7585</v>
      </c>
      <c r="B23" s="135">
        <f>SUM(K23:K24)</f>
        <v>0.21054998948374348</v>
      </c>
      <c r="C23" s="127" t="s">
        <v>7586</v>
      </c>
      <c r="D23" s="133">
        <f>SUM(K23:K23)</f>
        <v>0.10466174234531715</v>
      </c>
      <c r="E23" s="128" t="s">
        <v>7587</v>
      </c>
      <c r="F23" s="130"/>
      <c r="G23" s="130">
        <f>102400</f>
        <v>102400</v>
      </c>
      <c r="H23" s="130"/>
      <c r="I23" s="130"/>
      <c r="J23" s="130">
        <f t="shared" si="1"/>
        <v>102400</v>
      </c>
      <c r="K23" s="131">
        <f t="shared" si="0"/>
        <v>0.10466174234531715</v>
      </c>
      <c r="L23" s="129"/>
      <c r="M23" s="129"/>
      <c r="P23" s="129"/>
    </row>
    <row r="24" spans="1:16">
      <c r="A24" s="136"/>
      <c r="B24" s="136"/>
      <c r="C24" s="127" t="s">
        <v>7588</v>
      </c>
      <c r="D24" s="133">
        <f>SUM(K24:K24)</f>
        <v>0.10588824713842634</v>
      </c>
      <c r="E24" s="128" t="s">
        <v>7589</v>
      </c>
      <c r="F24" s="130"/>
      <c r="G24" s="130">
        <f>100000+3600</f>
        <v>103600</v>
      </c>
      <c r="H24" s="130"/>
      <c r="I24" s="130"/>
      <c r="J24" s="130">
        <f t="shared" ref="J24" si="2">SUM(F24:I24)</f>
        <v>103600</v>
      </c>
      <c r="K24" s="131">
        <f t="shared" si="0"/>
        <v>0.10588824713842634</v>
      </c>
      <c r="L24" s="129"/>
      <c r="M24" s="129"/>
      <c r="P24" s="129"/>
    </row>
    <row r="25" spans="1:16">
      <c r="A25" s="128"/>
      <c r="B25" s="128"/>
      <c r="C25" s="128"/>
      <c r="D25" s="128"/>
      <c r="E25" s="128" t="s">
        <v>7554</v>
      </c>
      <c r="F25" s="128"/>
      <c r="G25" s="128"/>
      <c r="H25" s="128"/>
      <c r="I25" s="128"/>
      <c r="J25" s="130">
        <f>SUM(J2:J24)</f>
        <v>978389.98</v>
      </c>
      <c r="K25" s="131">
        <f t="shared" si="0"/>
        <v>1</v>
      </c>
      <c r="L25" s="129"/>
      <c r="M25" s="129"/>
      <c r="P25" s="129"/>
    </row>
    <row r="26" spans="1:16">
      <c r="A26" s="129"/>
      <c r="B26" s="129"/>
      <c r="C26" s="129"/>
      <c r="D26" s="129"/>
      <c r="E26" s="128" t="s">
        <v>7590</v>
      </c>
      <c r="F26" s="128"/>
      <c r="G26" s="128"/>
      <c r="H26" s="128"/>
      <c r="I26" s="128"/>
      <c r="J26" s="132">
        <f>J25/$M$2-1</f>
        <v>6.7372491046208793E-2</v>
      </c>
      <c r="K26" s="131"/>
      <c r="L26" s="129"/>
      <c r="M26" s="129"/>
      <c r="P26" s="129"/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40"/>
  <sheetViews>
    <sheetView topLeftCell="A24" workbookViewId="0">
      <selection activeCell="D51" sqref="D51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6"/>
      <c r="B3" s="25" t="s">
        <v>57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6"/>
      <c r="B4" s="2" t="s">
        <v>45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6"/>
      <c r="B5" s="2" t="s">
        <v>41</v>
      </c>
      <c r="C5" s="19">
        <f>已投部分年化收益率!Z15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6"/>
      <c r="B6" s="2" t="s">
        <v>18</v>
      </c>
      <c r="C6" s="28">
        <f>已投部分年化收益率!Z16</f>
        <v>0.22490663750000001</v>
      </c>
      <c r="D6" s="18">
        <f>(11+9+2+3)*0.0067</f>
        <v>0.16750000000000001</v>
      </c>
      <c r="E6" s="50"/>
      <c r="M6" s="3"/>
    </row>
    <row r="7" spans="1:18">
      <c r="A7" s="106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106"/>
      <c r="B8" s="2" t="s">
        <v>40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35"/>
      <c r="B9" s="96" t="s">
        <v>7424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>
      <c r="A10" s="136"/>
      <c r="B10" s="2" t="s">
        <v>67</v>
      </c>
      <c r="C10" s="28">
        <f>已投部分年化收益率!Z19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>
      <c r="A11" s="106"/>
      <c r="B11" s="25" t="s">
        <v>55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>
      <c r="A12" s="106"/>
      <c r="B12" s="25" t="s">
        <v>58</v>
      </c>
      <c r="C12" s="19">
        <f>已投部分年化收益率!Z37</f>
        <v>1.6E-2</v>
      </c>
      <c r="D12" s="18">
        <f>3*0.0067</f>
        <v>2.01E-2</v>
      </c>
      <c r="E12" s="50"/>
    </row>
    <row r="13" spans="1:18">
      <c r="A13" s="135"/>
      <c r="B13" s="25" t="s">
        <v>59</v>
      </c>
      <c r="C13" s="28">
        <f>已投部分年化收益率!Z21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>
      <c r="A14" s="136"/>
      <c r="B14" s="25" t="s">
        <v>56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>
      <c r="A15" s="106"/>
      <c r="B15" s="2" t="s">
        <v>36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>
      <c r="A16" s="106"/>
      <c r="B16" s="2" t="s">
        <v>7448</v>
      </c>
      <c r="C16" s="19">
        <f>已投部分年化收益率!Z43</f>
        <v>5.6000000000000001E-2</v>
      </c>
      <c r="D16" s="18">
        <f>7*0.0067</f>
        <v>4.6900000000000004E-2</v>
      </c>
      <c r="E16" s="50"/>
    </row>
    <row r="17" spans="1:28">
      <c r="A17" s="106"/>
      <c r="B17" s="2" t="s">
        <v>33</v>
      </c>
      <c r="C17" s="19">
        <f>已投部分年化收益率!Z42</f>
        <v>6.4313999999999994E-3</v>
      </c>
      <c r="D17" s="18">
        <f>2*0.0067</f>
        <v>1.34E-2</v>
      </c>
      <c r="E17" s="50"/>
    </row>
    <row r="18" spans="1:28">
      <c r="A18" s="106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6"/>
      <c r="B21" s="2" t="s">
        <v>35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6"/>
      <c r="B22" s="67" t="s">
        <v>195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6"/>
      <c r="B23" s="2" t="s">
        <v>70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6"/>
      <c r="B24" s="2" t="s">
        <v>38</v>
      </c>
      <c r="C24" s="19">
        <f>已投部分年化收益率!Z47</f>
        <v>8.0536124999999997E-3</v>
      </c>
      <c r="D24" s="18">
        <f>1*0.0067</f>
        <v>6.7000000000000002E-3</v>
      </c>
      <c r="E24" s="50"/>
    </row>
    <row r="25" spans="1:28">
      <c r="A25" s="106"/>
      <c r="B25" s="2" t="s">
        <v>66</v>
      </c>
      <c r="C25" s="19">
        <f>已投部分年化收益率!Z48</f>
        <v>2.0792575000000001E-2</v>
      </c>
      <c r="D25" s="18">
        <v>0</v>
      </c>
      <c r="E25" s="50"/>
      <c r="K25" s="1"/>
      <c r="L25" s="4"/>
      <c r="M25" s="4"/>
    </row>
    <row r="26" spans="1:28">
      <c r="A26" s="106"/>
      <c r="B26" s="2" t="s">
        <v>71</v>
      </c>
      <c r="C26" s="19">
        <f>已投部分年化收益率!Z46</f>
        <v>1.6E-2</v>
      </c>
      <c r="D26" s="18">
        <f>2*0.0067</f>
        <v>1.34E-2</v>
      </c>
      <c r="E26" s="50"/>
    </row>
    <row r="27" spans="1:28">
      <c r="A27" s="106"/>
      <c r="B27" s="25" t="s">
        <v>65</v>
      </c>
      <c r="C27" s="19">
        <f>已投部分年化收益率!Z49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>
      <c r="A28" s="106"/>
      <c r="F28" t="s">
        <v>76</v>
      </c>
      <c r="G28" s="19">
        <f>C3</f>
        <v>8.2900000000000001E-2</v>
      </c>
      <c r="H28" s="1">
        <f>已投部分年化收益率!X13</f>
        <v>9.7880779075583284</v>
      </c>
      <c r="I28" s="1">
        <f>ETF计划成本计算!D5</f>
        <v>9.4157292185166757</v>
      </c>
      <c r="J28" s="18">
        <f>已投部分年化收益率!S13/H28-1</f>
        <v>-6.9551865239811939E-3</v>
      </c>
    </row>
    <row r="29" spans="1:28">
      <c r="A29" s="106"/>
      <c r="F29" t="s">
        <v>83</v>
      </c>
      <c r="G29" s="19">
        <f>C5</f>
        <v>5.5856999999999997E-2</v>
      </c>
      <c r="H29" s="1">
        <f>已投部分年化收益率!X15</f>
        <v>11.36622394649374</v>
      </c>
      <c r="I29" s="1">
        <f>ETF计划成本计算!D53</f>
        <v>10.011348880500208</v>
      </c>
      <c r="J29" s="18">
        <f>已投部分年化收益率!S15/H29-1</f>
        <v>-5.4215362058199879E-2</v>
      </c>
    </row>
    <row r="30" spans="1:28">
      <c r="A30" s="106"/>
      <c r="F30" t="s">
        <v>77</v>
      </c>
      <c r="G30" s="19">
        <f>C6</f>
        <v>0.22490663750000001</v>
      </c>
      <c r="H30" s="55">
        <f>已投部分年化收益率!X16</f>
        <v>21.633080108668185</v>
      </c>
      <c r="I30" s="4">
        <f>ETF计划成本计算!D20</f>
        <v>21.130676776691516</v>
      </c>
      <c r="J30" s="18">
        <f>已投部分年化收益率!S16/H30-1</f>
        <v>-0.24097724792223874</v>
      </c>
    </row>
    <row r="31" spans="1:28">
      <c r="A31" s="106"/>
      <c r="F31" t="s">
        <v>78</v>
      </c>
      <c r="G31" s="19">
        <f>C7</f>
        <v>4.9623162499999998E-2</v>
      </c>
      <c r="H31" s="1">
        <f>已投部分年化收益率!X17</f>
        <v>29.522340239990651</v>
      </c>
      <c r="I31" s="27" t="s">
        <v>114</v>
      </c>
      <c r="J31" s="18">
        <f>已投部分年化收益率!S17/H31-1</f>
        <v>-0.2774963018986345</v>
      </c>
    </row>
    <row r="32" spans="1:28">
      <c r="A32" s="106"/>
      <c r="F32" t="s">
        <v>222</v>
      </c>
      <c r="G32" s="19">
        <f>C8</f>
        <v>2.4085612499999999E-2</v>
      </c>
      <c r="H32" s="1">
        <f>已投部分年化收益率!X18</f>
        <v>31.568188485981963</v>
      </c>
      <c r="I32" s="4">
        <f>ETF计划成本计算!D71</f>
        <v>33.841860750264445</v>
      </c>
      <c r="J32" s="18">
        <f>已投部分年化收益率!S18/H32-1</f>
        <v>-0.11746598914374218</v>
      </c>
    </row>
    <row r="33" spans="1:10">
      <c r="A33" s="106"/>
      <c r="F33" t="s">
        <v>79</v>
      </c>
      <c r="G33" s="19">
        <f>C10</f>
        <v>6.1076224999999998E-2</v>
      </c>
      <c r="H33" s="1">
        <f>已投部分年化收益率!X19</f>
        <v>29.445647024026695</v>
      </c>
      <c r="I33" s="1">
        <f>ETF计划成本计算!D30</f>
        <v>29.815017394054401</v>
      </c>
      <c r="J33" s="18">
        <f>已投部分年化收益率!S19/H33-1</f>
        <v>-0.17916560025738049</v>
      </c>
    </row>
    <row r="34" spans="1:10">
      <c r="A34" s="106"/>
      <c r="F34" t="s">
        <v>80</v>
      </c>
      <c r="G34" s="19">
        <f>C13</f>
        <v>7.2749999999999995E-2</v>
      </c>
      <c r="H34" s="1">
        <f>已投部分年化收益率!X21</f>
        <v>23.560825948031592</v>
      </c>
      <c r="I34" s="1">
        <f>ETF计划成本计算!D35</f>
        <v>23.406756252332961</v>
      </c>
      <c r="J34" s="18">
        <f>已投部分年化收益率!S21/H34-1</f>
        <v>-0.13840032413227088</v>
      </c>
    </row>
    <row r="35" spans="1:10">
      <c r="A35" s="106"/>
      <c r="F35" t="s">
        <v>81</v>
      </c>
      <c r="G35" s="19">
        <f>C15</f>
        <v>6.0069037499999992E-2</v>
      </c>
      <c r="H35" s="56">
        <f>已投部分年化收益率!X23</f>
        <v>25.074858016687536</v>
      </c>
      <c r="I35" s="1">
        <f>ETF计划成本计算!D40</f>
        <v>25.950848753016896</v>
      </c>
      <c r="J35" s="18">
        <f>已投部分年化收益率!S24/H35-1</f>
        <v>-0.23947724899144995</v>
      </c>
    </row>
    <row r="36" spans="1:10">
      <c r="A36" s="106"/>
      <c r="F36" t="s">
        <v>82</v>
      </c>
      <c r="G36" s="19">
        <f>C14</f>
        <v>3.70254125E-2</v>
      </c>
      <c r="H36" s="1">
        <f>已投部分年化收益率!X25</f>
        <v>27.611121357189571</v>
      </c>
      <c r="I36" s="1">
        <f>ETF计划成本计算!D58</f>
        <v>27.466387692307691</v>
      </c>
      <c r="J36" s="18">
        <f>已投部分年化收益率!S25/H36-1</f>
        <v>-0.26406465941272095</v>
      </c>
    </row>
    <row r="37" spans="1:10">
      <c r="F37" t="s">
        <v>219</v>
      </c>
      <c r="G37" s="19">
        <f>C12</f>
        <v>1.6E-2</v>
      </c>
      <c r="H37" s="1">
        <f>已投部分年化收益率!Y37</f>
        <v>0.99919307511737088</v>
      </c>
      <c r="I37" s="1">
        <f>ETF计划成本计算!D63</f>
        <v>1.0048415492957745</v>
      </c>
      <c r="J37" s="18">
        <f>已投部分年化收益率!U37/H37-1</f>
        <v>8.0757653623075853E-4</v>
      </c>
    </row>
    <row r="38" spans="1:10">
      <c r="F38" t="s">
        <v>234</v>
      </c>
      <c r="G38" s="19">
        <f>C11</f>
        <v>3.1965149999999998E-2</v>
      </c>
      <c r="H38" s="1">
        <f>已投部分年化收益率!Y22</f>
        <v>1.3244841626055306</v>
      </c>
      <c r="J38" s="18">
        <f>已投部分年化收益率!U22/资产配置表!H38-1</f>
        <v>-4.1136137481892709E-2</v>
      </c>
    </row>
    <row r="39" spans="1:10">
      <c r="F39" t="s">
        <v>7424</v>
      </c>
      <c r="G39" s="19">
        <f>C9</f>
        <v>8.0000000000000002E-3</v>
      </c>
      <c r="H39" s="1">
        <f>已投部分年化收益率!X34</f>
        <v>22.043119548486402</v>
      </c>
      <c r="J39" s="18">
        <f>已投部分年化收益率!S34/资产配置表!H39-1</f>
        <v>0.1377699941622883</v>
      </c>
    </row>
    <row r="40" spans="1:10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已投部分年化收益率!T13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9.4157292185166757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已投部分年化收益率!T27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已投部分年化收益率!T28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已投部分年化收益率!T26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7.7564803804994051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已投部分年化收益率!T20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29.815017394054401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已投部分年化收益率!T21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23.406756252332961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已投部分年化收益率!T24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25.950848753016896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已投部分年化收益率!T39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7.3592506495282386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已投部分年化收益率!T31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已投部分年化收益率!T32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已投部分年化收益率!T33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27.466387692307691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220</v>
      </c>
      <c r="C61" s="46" t="s">
        <v>192</v>
      </c>
      <c r="D61" s="21">
        <f>已投部分年化收益率!V37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221</v>
      </c>
      <c r="F62">
        <v>1</v>
      </c>
      <c r="G62">
        <v>1</v>
      </c>
      <c r="H62">
        <v>1</v>
      </c>
    </row>
    <row r="63" spans="2:17">
      <c r="D63" s="31">
        <f>E61*D61</f>
        <v>1.0048415492957745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3" t="s">
        <v>40</v>
      </c>
      <c r="C66" s="36" t="s">
        <v>7425</v>
      </c>
      <c r="D66" s="48">
        <f>已投部分年化收益率!T35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已投部分年化收益率!T36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47"/>
  <sheetViews>
    <sheetView topLeftCell="A5" workbookViewId="0">
      <selection activeCell="B39" sqref="B39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 ht="15">
      <c r="A2" s="86"/>
      <c r="B2" s="86" t="str">
        <f>组合权益类行业占比!K1</f>
        <v>能源</v>
      </c>
      <c r="C2" s="86" t="str">
        <f>组合权益类行业占比!L1</f>
        <v>原材料</v>
      </c>
      <c r="D2" s="86" t="str">
        <f>组合权益类行业占比!M1</f>
        <v>工业</v>
      </c>
      <c r="E2" s="86" t="str">
        <f>组合权益类行业占比!N1</f>
        <v>可选消费</v>
      </c>
      <c r="F2" s="86" t="str">
        <f>组合权益类行业占比!O1</f>
        <v>主要消费</v>
      </c>
      <c r="G2" s="86" t="str">
        <f>组合权益类行业占比!P1</f>
        <v>医药卫生</v>
      </c>
      <c r="H2" s="86" t="str">
        <f>组合权益类行业占比!Q1</f>
        <v>金融地产</v>
      </c>
      <c r="I2" s="86" t="str">
        <f>组合权益类行业占比!R1</f>
        <v>信息技术</v>
      </c>
      <c r="J2" s="86" t="str">
        <f>组合权益类行业占比!S1</f>
        <v>电信业务</v>
      </c>
      <c r="K2" s="86" t="str">
        <f>组合权益类行业占比!T1</f>
        <v>公用事业</v>
      </c>
    </row>
    <row r="3" spans="1:12" ht="15">
      <c r="A3" s="86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 ht="15">
      <c r="A4" s="90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 ht="15">
      <c r="A5" s="86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 ht="15">
      <c r="A6" s="86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 ht="15">
      <c r="A7" s="86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 ht="15">
      <c r="A8" s="86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 ht="15">
      <c r="A9" s="86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 ht="15">
      <c r="A10" s="86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ht="15">
      <c r="A11" s="86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 ht="15">
      <c r="A12" s="86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 ht="15">
      <c r="A13" s="86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 ht="15">
      <c r="A14" s="86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 ht="15">
      <c r="A15" s="86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 ht="15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 ht="15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 ht="15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 ht="15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 ht="15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6" t="s">
        <v>7401</v>
      </c>
      <c r="B25" s="86" t="str">
        <f>组合权益类行业占比!K1</f>
        <v>能源</v>
      </c>
      <c r="C25" s="86" t="str">
        <f>组合权益类行业占比!L1</f>
        <v>原材料</v>
      </c>
      <c r="D25" s="86" t="str">
        <f>组合权益类行业占比!M1</f>
        <v>工业</v>
      </c>
      <c r="E25" s="86" t="str">
        <f>组合权益类行业占比!N1</f>
        <v>可选消费</v>
      </c>
      <c r="F25" s="86" t="str">
        <f>组合权益类行业占比!O1</f>
        <v>主要消费</v>
      </c>
      <c r="G25" s="86" t="str">
        <f>组合权益类行业占比!P1</f>
        <v>医药卫生</v>
      </c>
      <c r="H25" s="86" t="str">
        <f>组合权益类行业占比!Q1</f>
        <v>金融地产</v>
      </c>
      <c r="I25" s="86" t="str">
        <f>组合权益类行业占比!R1</f>
        <v>信息技术</v>
      </c>
      <c r="J25" s="86" t="str">
        <f>组合权益类行业占比!S1</f>
        <v>电信业务</v>
      </c>
      <c r="K25" s="86" t="str">
        <f>组合权益类行业占比!T1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>
      <c r="A26" s="86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资产配置表!C3</f>
        <v>8.2900000000000001E-2</v>
      </c>
      <c r="P26" s="60">
        <f>O26*(1+L26)</f>
        <v>7.8799277840074566E-2</v>
      </c>
    </row>
    <row r="27" spans="1:28" ht="12.75" customHeight="1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资产配置表!C4</f>
        <v>8.0543625000000004E-3</v>
      </c>
      <c r="P27" s="60">
        <f>O27*(1+L27)</f>
        <v>7.6694028597863208E-3</v>
      </c>
    </row>
    <row r="28" spans="1:28" ht="15">
      <c r="A28" s="86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资产配置表!C4</f>
        <v>8.0543625000000004E-3</v>
      </c>
      <c r="P28" s="60">
        <f t="shared" ref="P28:P38" si="19">O28*(1+L28)</f>
        <v>7.8613866347178318E-3</v>
      </c>
    </row>
    <row r="29" spans="1:28" ht="15">
      <c r="A29" s="86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资产配置表!C5</f>
        <v>5.5856999999999997E-2</v>
      </c>
      <c r="P29" s="60">
        <f t="shared" si="19"/>
        <v>5.2841413145576693E-2</v>
      </c>
    </row>
    <row r="30" spans="1:28" ht="15">
      <c r="A30" s="86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资产配置表!C6</f>
        <v>0.22490663750000001</v>
      </c>
      <c r="P30" s="60">
        <f t="shared" si="19"/>
        <v>0.20000322171265431</v>
      </c>
    </row>
    <row r="31" spans="1:28" ht="15">
      <c r="A31" s="86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资产配置表!C7</f>
        <v>4.9623162499999998E-2</v>
      </c>
      <c r="P31" s="60">
        <f t="shared" si="19"/>
        <v>4.3521844709253348E-2</v>
      </c>
    </row>
    <row r="32" spans="1:28" ht="15">
      <c r="A32" s="86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资产配置表!C12</f>
        <v>1.6E-2</v>
      </c>
      <c r="P32" s="60">
        <f t="shared" si="19"/>
        <v>1.5990507851060279E-2</v>
      </c>
    </row>
    <row r="33" spans="1:17" ht="15">
      <c r="A33" s="86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资产配置表!C11</f>
        <v>3.1965149999999998E-2</v>
      </c>
      <c r="P33" s="60">
        <f t="shared" si="19"/>
        <v>3.1965149999999998E-2</v>
      </c>
    </row>
    <row r="34" spans="1:17" ht="15">
      <c r="A34" s="86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资产配置表!C14</f>
        <v>3.70254125E-2</v>
      </c>
      <c r="P34" s="60">
        <f t="shared" si="19"/>
        <v>3.1708904730511842E-2</v>
      </c>
    </row>
    <row r="35" spans="1:17">
      <c r="A35" s="86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资产配置表!C10</f>
        <v>6.1076224999999998E-2</v>
      </c>
      <c r="P35" s="60">
        <f t="shared" si="19"/>
        <v>6.0363548759179125E-2</v>
      </c>
    </row>
    <row r="36" spans="1:17">
      <c r="A36" s="86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资产配置表!C13</f>
        <v>7.2749999999999995E-2</v>
      </c>
      <c r="P36" s="60">
        <f t="shared" si="19"/>
        <v>6.8704073069794619E-2</v>
      </c>
    </row>
    <row r="37" spans="1:17">
      <c r="A37" s="86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资产配置表!C15</f>
        <v>6.0069037499999992E-2</v>
      </c>
      <c r="P37" s="60">
        <f t="shared" si="19"/>
        <v>5.355761487070107E-2</v>
      </c>
    </row>
    <row r="38" spans="1:17">
      <c r="A38" s="86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资产配置表!C8</f>
        <v>2.4085612499999999E-2</v>
      </c>
      <c r="P38" s="60">
        <f t="shared" si="19"/>
        <v>2.0944615447717117E-2</v>
      </c>
    </row>
    <row r="39" spans="1:17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>
      <c r="M40" s="93"/>
      <c r="O40" s="85">
        <f>SUM(O26:O39)</f>
        <v>1</v>
      </c>
      <c r="P40" s="85">
        <f>SUM(P26:P39)</f>
        <v>0.94156399913102717</v>
      </c>
    </row>
    <row r="41" spans="1:17">
      <c r="M41" s="93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topLeftCell="A40" zoomScale="85" zoomScaleNormal="85" zoomScalePageLayoutView="85" workbookViewId="0">
      <selection activeCell="A59" sqref="A59"/>
    </sheetView>
  </sheetViews>
  <sheetFormatPr defaultColWidth="8.875" defaultRowHeight="14.2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资产配置表!G28</f>
        <v>8.2900000000000001E-2</v>
      </c>
      <c r="K2" s="18">
        <f>已投部分年化收益率!W13</f>
        <v>0.13389999999999999</v>
      </c>
      <c r="L2" s="1">
        <f>资产配置表!H28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资产配置表!G29</f>
        <v>5.5856999999999997E-2</v>
      </c>
      <c r="K3" s="18">
        <f>已投部分年化收益率!W15</f>
        <v>0.12139999999999999</v>
      </c>
      <c r="L3" s="1">
        <f>资产配置表!H29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资产配置表!G30</f>
        <v>0.22490663750000001</v>
      </c>
      <c r="K4" s="18">
        <f>已投部分年化收益率!W16</f>
        <v>9.5100000000000004E-2</v>
      </c>
      <c r="L4" s="1">
        <f>资产配置表!H30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>
      <c r="B5" s="1"/>
      <c r="I5" t="s">
        <v>214</v>
      </c>
      <c r="J5" s="18">
        <f>资产配置表!G31</f>
        <v>4.9623162499999998E-2</v>
      </c>
      <c r="K5" s="18">
        <f>已投部分年化收益率!W17</f>
        <v>8.3799999999999999E-2</v>
      </c>
      <c r="L5" s="1">
        <f>资产配置表!H31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资产配置表!G32</f>
        <v>2.4085612499999999E-2</v>
      </c>
      <c r="K6" s="18">
        <f>已投部分年化收益率!W18</f>
        <v>0.12429999999999999</v>
      </c>
      <c r="L6" s="1">
        <f>资产配置表!H32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资产配置表!G33</f>
        <v>6.1076224999999998E-2</v>
      </c>
      <c r="K7" s="18">
        <f>已投部分年化收益率!W19</f>
        <v>0.1163</v>
      </c>
      <c r="L7" s="1">
        <f>资产配置表!H33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资产配置表!G34</f>
        <v>7.2749999999999995E-2</v>
      </c>
      <c r="K8" s="18">
        <f>已投部分年化收益率!W21</f>
        <v>0.1275</v>
      </c>
      <c r="L8" s="1">
        <f>资产配置表!H34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>
      <c r="B9" s="1"/>
      <c r="I9" t="s">
        <v>217</v>
      </c>
      <c r="J9" s="18">
        <f>资产配置表!G35</f>
        <v>6.0069037499999992E-2</v>
      </c>
      <c r="K9" s="18">
        <f>已投部分年化收益率!W23</f>
        <v>8.43E-2</v>
      </c>
      <c r="L9" s="1">
        <f>资产配置表!H35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资产配置表!G37</f>
        <v>1.6E-2</v>
      </c>
      <c r="K11" s="18">
        <f>已投部分年化收益率!W14</f>
        <v>0.12509999999999999</v>
      </c>
      <c r="L11" s="1">
        <f>资产配置表!H37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资产配置表!G38</f>
        <v>3.1965149999999998E-2</v>
      </c>
      <c r="K12" s="18">
        <f>已投部分年化收益率!W22</f>
        <v>5.0200000000000002E-2</v>
      </c>
      <c r="L12" s="1">
        <f>资产配置表!H38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>
      <c r="B13" s="1"/>
      <c r="E13" s="21"/>
      <c r="I13" t="s">
        <v>280</v>
      </c>
      <c r="J13" s="18">
        <f>资产配置表!C21</f>
        <v>2.0250000000000001E-2</v>
      </c>
      <c r="K13" s="18"/>
      <c r="L13" s="1"/>
    </row>
    <row r="14" spans="1:17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资产配置表!C16</f>
        <v>5.6000000000000001E-2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资产配置表!C17</f>
        <v>6.4313999999999994E-3</v>
      </c>
      <c r="K15" s="18"/>
    </row>
    <row r="16" spans="1:17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>
      <c r="B17" s="1"/>
    </row>
    <row r="18" spans="1:14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>
      <c r="B21" s="1"/>
    </row>
    <row r="22" spans="1:14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>
      <c r="B25" s="1"/>
    </row>
    <row r="26" spans="1:14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>
      <c r="L29" t="s">
        <v>7387</v>
      </c>
      <c r="M29" t="s">
        <v>7391</v>
      </c>
      <c r="N29" t="s">
        <v>7388</v>
      </c>
    </row>
    <row r="30" spans="1:14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>
      <c r="B45" s="1"/>
      <c r="C45" s="21"/>
      <c r="D45" s="21"/>
      <c r="E45" s="21"/>
    </row>
    <row r="46" spans="1:14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4" t="s">
        <v>236</v>
      </c>
      <c r="D63" s="74" t="s">
        <v>237</v>
      </c>
      <c r="E63" s="74" t="s">
        <v>238</v>
      </c>
    </row>
    <row r="64" spans="1:5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6"/>
  <sheetViews>
    <sheetView workbookViewId="0">
      <selection activeCell="F3" sqref="F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>
      <c r="A2" s="25" t="s">
        <v>57</v>
      </c>
      <c r="B2" s="80">
        <f>已投部分年化收益率!Z13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7" t="s">
        <v>43</v>
      </c>
      <c r="B3" s="80">
        <f>已投部分年化收益率!Z14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7" t="s">
        <v>39</v>
      </c>
      <c r="B4" s="80">
        <f>已投部分年化收益率!Z15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7" t="s">
        <v>18</v>
      </c>
      <c r="B5" s="80">
        <f>已投部分年化收益率!Z16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7" t="s">
        <v>19</v>
      </c>
      <c r="B6" s="80">
        <f>已投部分年化收益率!Z17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7" t="s">
        <v>67</v>
      </c>
      <c r="B7" s="80">
        <f>已投部分年化收益率!Z19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80">
        <f>已投部分年化收益率!Z22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80">
        <f>已投部分年化收益率!Z37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80">
        <f>已投部分年化收益率!Z21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80">
        <f>已投部分年化收益率!Z25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7" t="s">
        <v>36</v>
      </c>
      <c r="B12" s="80">
        <f>已投部分年化收益率!Z23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3848</v>
      </c>
      <c r="B13" s="80">
        <f>已投部分年化收益率!Z18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270</v>
      </c>
      <c r="B15" t="s">
        <v>271</v>
      </c>
      <c r="G15" s="77"/>
      <c r="H15" s="77"/>
    </row>
    <row r="16" spans="1:20">
      <c r="A16" s="25" t="s">
        <v>57</v>
      </c>
      <c r="B16" s="18">
        <f>资产配置表!D3</f>
        <v>8.7099999999999997E-2</v>
      </c>
    </row>
    <row r="17" spans="1:26">
      <c r="A17" s="77" t="s">
        <v>43</v>
      </c>
      <c r="B17" s="18">
        <f>资产配置表!D4</f>
        <v>6.0299999999999999E-2</v>
      </c>
    </row>
    <row r="18" spans="1:26">
      <c r="A18" s="77" t="s">
        <v>39</v>
      </c>
      <c r="B18" s="18">
        <f>资产配置表!D5</f>
        <v>5.3600000000000002E-2</v>
      </c>
    </row>
    <row r="19" spans="1:26">
      <c r="A19" s="77" t="s">
        <v>18</v>
      </c>
      <c r="B19" s="18">
        <f>资产配置表!D6</f>
        <v>0.16750000000000001</v>
      </c>
    </row>
    <row r="20" spans="1:26">
      <c r="A20" s="77" t="s">
        <v>19</v>
      </c>
      <c r="B20" s="18">
        <f>资产配置表!D7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>
      <c r="A21" s="77" t="s">
        <v>67</v>
      </c>
      <c r="B21" s="18">
        <f>资产配置表!D10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资产配置表!D11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资产配置表!D12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资产配置表!D13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资产配置表!D14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7" t="s">
        <v>36</v>
      </c>
      <c r="B26" s="18">
        <f>资产配置表!D15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3851</v>
      </c>
      <c r="B27" s="19">
        <f>资产配置表!D8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已投部分年化收益率</vt:lpstr>
      <vt:lpstr>资产配置三维饼图</vt:lpstr>
      <vt:lpstr>资产配置表</vt:lpstr>
      <vt:lpstr>ETF计划成本计算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2019-03-18T22:43:15Z</dcterms:modified>
</cp:coreProperties>
</file>