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firstSheet="1" activeTab="3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" i="10" l="1"/>
  <c r="O38" i="10"/>
  <c r="P37" i="10"/>
  <c r="P26" i="10"/>
  <c r="P27" i="10"/>
  <c r="P28" i="10"/>
  <c r="P29" i="10"/>
  <c r="P30" i="10"/>
  <c r="P31" i="10"/>
  <c r="P32" i="10"/>
  <c r="P33" i="10"/>
  <c r="P34" i="10"/>
  <c r="P35" i="10"/>
  <c r="P36" i="10"/>
  <c r="P25" i="10"/>
  <c r="O37" i="10"/>
  <c r="O30" i="10"/>
  <c r="O31" i="10"/>
  <c r="O33" i="10"/>
  <c r="O34" i="10"/>
  <c r="O32" i="10"/>
  <c r="O35" i="10"/>
  <c r="O36" i="10"/>
  <c r="O26" i="10"/>
  <c r="O27" i="10"/>
  <c r="O28" i="10"/>
  <c r="O29" i="10"/>
  <c r="O25" i="10"/>
  <c r="N26" i="10"/>
  <c r="N27" i="10"/>
  <c r="N28" i="10"/>
  <c r="N29" i="10"/>
  <c r="N30" i="10"/>
  <c r="N31" i="10"/>
  <c r="N32" i="10"/>
  <c r="N33" i="10"/>
  <c r="N34" i="10"/>
  <c r="N35" i="10"/>
  <c r="N36" i="10"/>
  <c r="N25" i="10"/>
  <c r="L26" i="10"/>
  <c r="L27" i="10"/>
  <c r="L28" i="10"/>
  <c r="L29" i="10"/>
  <c r="L30" i="10"/>
  <c r="L31" i="10"/>
  <c r="L32" i="10"/>
  <c r="L33" i="10"/>
  <c r="L34" i="10"/>
  <c r="L35" i="10"/>
  <c r="L36" i="10"/>
  <c r="L25" i="10"/>
  <c r="K26" i="10"/>
  <c r="K27" i="10"/>
  <c r="K28" i="10"/>
  <c r="K29" i="10"/>
  <c r="K30" i="10"/>
  <c r="K31" i="10"/>
  <c r="K32" i="10"/>
  <c r="K33" i="10"/>
  <c r="K34" i="10"/>
  <c r="K35" i="10"/>
  <c r="K36" i="10"/>
  <c r="K25" i="10"/>
  <c r="J27" i="10"/>
  <c r="J28" i="10"/>
  <c r="J29" i="10"/>
  <c r="J30" i="10"/>
  <c r="J31" i="10"/>
  <c r="J32" i="10"/>
  <c r="J33" i="10"/>
  <c r="J34" i="10"/>
  <c r="J35" i="10"/>
  <c r="J36" i="10"/>
  <c r="J26" i="10"/>
  <c r="I26" i="10"/>
  <c r="I27" i="10"/>
  <c r="I28" i="10"/>
  <c r="I29" i="10"/>
  <c r="I30" i="10"/>
  <c r="I31" i="10"/>
  <c r="I32" i="10"/>
  <c r="I33" i="10"/>
  <c r="I34" i="10"/>
  <c r="I35" i="10"/>
  <c r="I36" i="10"/>
  <c r="I25" i="10"/>
  <c r="H26" i="10"/>
  <c r="H27" i="10"/>
  <c r="H28" i="10"/>
  <c r="H29" i="10"/>
  <c r="H30" i="10"/>
  <c r="H31" i="10"/>
  <c r="H32" i="10"/>
  <c r="H33" i="10"/>
  <c r="H34" i="10"/>
  <c r="H35" i="10"/>
  <c r="H36" i="10"/>
  <c r="H25" i="10"/>
  <c r="G26" i="10"/>
  <c r="G27" i="10"/>
  <c r="G28" i="10"/>
  <c r="G29" i="10"/>
  <c r="G30" i="10"/>
  <c r="G31" i="10"/>
  <c r="G32" i="10"/>
  <c r="G33" i="10"/>
  <c r="G34" i="10"/>
  <c r="G35" i="10"/>
  <c r="G36" i="10"/>
  <c r="G25" i="10"/>
  <c r="F26" i="10"/>
  <c r="F27" i="10"/>
  <c r="F28" i="10"/>
  <c r="F29" i="10"/>
  <c r="F30" i="10"/>
  <c r="F31" i="10"/>
  <c r="F32" i="10"/>
  <c r="F33" i="10"/>
  <c r="F34" i="10"/>
  <c r="F35" i="10"/>
  <c r="F36" i="10"/>
  <c r="F25" i="10"/>
  <c r="E26" i="10"/>
  <c r="E27" i="10"/>
  <c r="E28" i="10"/>
  <c r="E29" i="10"/>
  <c r="E30" i="10"/>
  <c r="E31" i="10"/>
  <c r="E32" i="10"/>
  <c r="E33" i="10"/>
  <c r="E34" i="10"/>
  <c r="E35" i="10"/>
  <c r="E36" i="10"/>
  <c r="E25" i="10"/>
  <c r="D26" i="10"/>
  <c r="D27" i="10"/>
  <c r="D28" i="10"/>
  <c r="D29" i="10"/>
  <c r="D30" i="10"/>
  <c r="D31" i="10"/>
  <c r="D32" i="10"/>
  <c r="D33" i="10"/>
  <c r="D34" i="10"/>
  <c r="D35" i="10"/>
  <c r="D36" i="10"/>
  <c r="D25" i="10"/>
  <c r="J25" i="10"/>
  <c r="C26" i="10"/>
  <c r="C27" i="10"/>
  <c r="C28" i="10"/>
  <c r="C29" i="10"/>
  <c r="C30" i="10"/>
  <c r="C31" i="10"/>
  <c r="C32" i="10"/>
  <c r="C33" i="10"/>
  <c r="C34" i="10"/>
  <c r="C35" i="10"/>
  <c r="C36" i="10"/>
  <c r="C25" i="10"/>
  <c r="B26" i="10"/>
  <c r="B27" i="10"/>
  <c r="B28" i="10"/>
  <c r="B29" i="10"/>
  <c r="B30" i="10"/>
  <c r="B31" i="10"/>
  <c r="B32" i="10"/>
  <c r="B33" i="10"/>
  <c r="B34" i="10"/>
  <c r="B35" i="10"/>
  <c r="B36" i="10"/>
  <c r="B25" i="10"/>
  <c r="C24" i="10"/>
  <c r="D24" i="10"/>
  <c r="E24" i="10"/>
  <c r="F24" i="10"/>
  <c r="G24" i="10"/>
  <c r="H24" i="10"/>
  <c r="I24" i="10"/>
  <c r="J24" i="10"/>
  <c r="K24" i="10"/>
  <c r="B24" i="10"/>
  <c r="A26" i="10"/>
  <c r="A27" i="10"/>
  <c r="A28" i="10"/>
  <c r="A29" i="10"/>
  <c r="A30" i="10"/>
  <c r="A31" i="10"/>
  <c r="A32" i="10"/>
  <c r="A33" i="10"/>
  <c r="A34" i="10"/>
  <c r="A35" i="10"/>
  <c r="A36" i="10"/>
  <c r="A25" i="10"/>
  <c r="I21" i="10"/>
  <c r="J21" i="10"/>
  <c r="L21" i="10"/>
  <c r="M21" i="10"/>
  <c r="O21" i="10"/>
  <c r="P21" i="10"/>
  <c r="R21" i="10"/>
  <c r="S21" i="10"/>
  <c r="U21" i="10"/>
  <c r="V21" i="10"/>
  <c r="X21" i="10"/>
  <c r="Y21" i="10"/>
  <c r="AA21" i="10"/>
  <c r="AB21" i="10"/>
  <c r="G21" i="10"/>
  <c r="F21" i="10"/>
  <c r="D21" i="10"/>
  <c r="C21" i="10"/>
  <c r="A3" i="10"/>
  <c r="B3" i="10"/>
  <c r="C3" i="10"/>
  <c r="D3" i="10"/>
  <c r="E3" i="10"/>
  <c r="F3" i="10"/>
  <c r="G3" i="10"/>
  <c r="H3" i="10"/>
  <c r="I3" i="10"/>
  <c r="J3" i="10"/>
  <c r="K3" i="10"/>
  <c r="A4" i="10"/>
  <c r="B4" i="10"/>
  <c r="C4" i="10"/>
  <c r="D4" i="10"/>
  <c r="E4" i="10"/>
  <c r="F4" i="10"/>
  <c r="G4" i="10"/>
  <c r="H4" i="10"/>
  <c r="I4" i="10"/>
  <c r="J4" i="10"/>
  <c r="K4" i="10"/>
  <c r="A5" i="10"/>
  <c r="B5" i="10"/>
  <c r="C5" i="10"/>
  <c r="D5" i="10"/>
  <c r="E5" i="10"/>
  <c r="F5" i="10"/>
  <c r="G5" i="10"/>
  <c r="H5" i="10"/>
  <c r="I5" i="10"/>
  <c r="J5" i="10"/>
  <c r="K5" i="10"/>
  <c r="A6" i="10"/>
  <c r="B6" i="10"/>
  <c r="C6" i="10"/>
  <c r="D6" i="10"/>
  <c r="E6" i="10"/>
  <c r="F6" i="10"/>
  <c r="G6" i="10"/>
  <c r="H6" i="10"/>
  <c r="I6" i="10"/>
  <c r="J6" i="10"/>
  <c r="K6" i="10"/>
  <c r="A7" i="10"/>
  <c r="B7" i="10"/>
  <c r="C7" i="10"/>
  <c r="D7" i="10"/>
  <c r="E7" i="10"/>
  <c r="F7" i="10"/>
  <c r="G7" i="10"/>
  <c r="H7" i="10"/>
  <c r="I7" i="10"/>
  <c r="J7" i="10"/>
  <c r="K7" i="10"/>
  <c r="A8" i="10"/>
  <c r="B8" i="10"/>
  <c r="C8" i="10"/>
  <c r="D8" i="10"/>
  <c r="E8" i="10"/>
  <c r="F8" i="10"/>
  <c r="G8" i="10"/>
  <c r="H8" i="10"/>
  <c r="I8" i="10"/>
  <c r="J8" i="10"/>
  <c r="K8" i="10"/>
  <c r="A9" i="10"/>
  <c r="B9" i="10"/>
  <c r="C9" i="10"/>
  <c r="D9" i="10"/>
  <c r="E9" i="10"/>
  <c r="F9" i="10"/>
  <c r="G9" i="10"/>
  <c r="H9" i="10"/>
  <c r="I9" i="10"/>
  <c r="J9" i="10"/>
  <c r="K9" i="10"/>
  <c r="A10" i="10"/>
  <c r="B10" i="10"/>
  <c r="C10" i="10"/>
  <c r="D10" i="10"/>
  <c r="E10" i="10"/>
  <c r="F10" i="10"/>
  <c r="G10" i="10"/>
  <c r="H10" i="10"/>
  <c r="I10" i="10"/>
  <c r="J10" i="10"/>
  <c r="K10" i="10"/>
  <c r="A11" i="10"/>
  <c r="B11" i="10"/>
  <c r="C11" i="10"/>
  <c r="D11" i="10"/>
  <c r="E11" i="10"/>
  <c r="F11" i="10"/>
  <c r="G11" i="10"/>
  <c r="H11" i="10"/>
  <c r="I11" i="10"/>
  <c r="J11" i="10"/>
  <c r="K11" i="10"/>
  <c r="A12" i="10"/>
  <c r="B12" i="10"/>
  <c r="C12" i="10"/>
  <c r="D12" i="10"/>
  <c r="E12" i="10"/>
  <c r="F12" i="10"/>
  <c r="G12" i="10"/>
  <c r="H12" i="10"/>
  <c r="I12" i="10"/>
  <c r="J12" i="10"/>
  <c r="K12" i="10"/>
  <c r="A13" i="10"/>
  <c r="B13" i="10"/>
  <c r="C13" i="10"/>
  <c r="D13" i="10"/>
  <c r="E13" i="10"/>
  <c r="F13" i="10"/>
  <c r="G13" i="10"/>
  <c r="H13" i="10"/>
  <c r="I13" i="10"/>
  <c r="J13" i="10"/>
  <c r="K13" i="10"/>
  <c r="A14" i="10"/>
  <c r="B14" i="10"/>
  <c r="C14" i="10"/>
  <c r="D14" i="10"/>
  <c r="E14" i="10"/>
  <c r="F14" i="10"/>
  <c r="G14" i="10"/>
  <c r="H14" i="10"/>
  <c r="I14" i="10"/>
  <c r="J14" i="10"/>
  <c r="K14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C58" i="7"/>
  <c r="E2" i="7"/>
  <c r="E6" i="7"/>
  <c r="E10" i="7"/>
  <c r="E14" i="7"/>
  <c r="E18" i="7"/>
  <c r="E22" i="7"/>
  <c r="E26" i="7"/>
  <c r="E30" i="7"/>
  <c r="E34" i="7"/>
  <c r="E38" i="7"/>
  <c r="E42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D44" i="7"/>
  <c r="D43" i="7"/>
  <c r="D40" i="7"/>
  <c r="D39" i="7"/>
  <c r="D36" i="7"/>
  <c r="D35" i="7"/>
  <c r="D32" i="7"/>
  <c r="D31" i="7"/>
  <c r="D28" i="7"/>
  <c r="D27" i="7"/>
  <c r="D24" i="7"/>
  <c r="D23" i="7"/>
  <c r="D20" i="7"/>
  <c r="D19" i="7"/>
  <c r="D16" i="7"/>
  <c r="D15" i="7"/>
  <c r="D12" i="7"/>
  <c r="D11" i="7"/>
  <c r="D8" i="7"/>
  <c r="D7" i="7"/>
  <c r="E4" i="7"/>
  <c r="E8" i="7"/>
  <c r="E12" i="7"/>
  <c r="E16" i="7"/>
  <c r="E20" i="7"/>
  <c r="E24" i="7"/>
  <c r="E28" i="7"/>
  <c r="E32" i="7"/>
  <c r="E36" i="7"/>
  <c r="E40" i="7"/>
  <c r="E44" i="7"/>
  <c r="E66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O2" i="7"/>
  <c r="B4" i="7"/>
  <c r="N2" i="7"/>
  <c r="K11" i="7"/>
  <c r="K12" i="7"/>
  <c r="K10" i="7"/>
  <c r="K9" i="7"/>
  <c r="K8" i="7"/>
  <c r="K4" i="7"/>
  <c r="K5" i="7"/>
  <c r="K6" i="7"/>
  <c r="K7" i="7"/>
  <c r="K3" i="7"/>
  <c r="K2" i="7"/>
  <c r="T15" i="1"/>
  <c r="H47" i="1"/>
  <c r="J47" i="1"/>
  <c r="H53" i="1"/>
  <c r="J53" i="1"/>
  <c r="H68" i="1"/>
  <c r="J68" i="1"/>
  <c r="H80" i="1"/>
  <c r="J80" i="1"/>
  <c r="J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4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T31" i="1"/>
  <c r="H83" i="1"/>
  <c r="J83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J95" i="1"/>
  <c r="J97" i="1"/>
  <c r="J98" i="1"/>
  <c r="J100" i="1"/>
  <c r="J101" i="1"/>
  <c r="Q4" i="1"/>
  <c r="S4" i="1"/>
  <c r="Q5" i="1"/>
  <c r="S5" i="1"/>
  <c r="Q6" i="1"/>
  <c r="R6" i="1"/>
  <c r="S6" i="1"/>
  <c r="M102" i="1"/>
  <c r="J102" i="1"/>
  <c r="J103" i="1"/>
  <c r="J104" i="1"/>
  <c r="J105" i="1"/>
  <c r="M106" i="1"/>
  <c r="J106" i="1"/>
  <c r="J107" i="1"/>
  <c r="J108" i="1"/>
  <c r="X15" i="1"/>
  <c r="H29" i="4"/>
  <c r="L3" i="7"/>
  <c r="N3" i="7"/>
  <c r="X16" i="1"/>
  <c r="H30" i="4"/>
  <c r="L4" i="7"/>
  <c r="N4" i="7"/>
  <c r="X17" i="1"/>
  <c r="H31" i="4"/>
  <c r="L5" i="7"/>
  <c r="N5" i="7"/>
  <c r="X18" i="1"/>
  <c r="H32" i="4"/>
  <c r="L6" i="7"/>
  <c r="N6" i="7"/>
  <c r="X19" i="1"/>
  <c r="H33" i="4"/>
  <c r="L7" i="7"/>
  <c r="N7" i="7"/>
  <c r="X21" i="1"/>
  <c r="H34" i="4"/>
  <c r="L8" i="7"/>
  <c r="N8" i="7"/>
  <c r="X23" i="1"/>
  <c r="H35" i="4"/>
  <c r="L9" i="7"/>
  <c r="N9" i="7"/>
  <c r="X25" i="1"/>
  <c r="H36" i="4"/>
  <c r="L10" i="7"/>
  <c r="N10" i="7"/>
  <c r="V34" i="1"/>
  <c r="I45" i="1"/>
  <c r="K45" i="1"/>
  <c r="I55" i="1"/>
  <c r="K55" i="1"/>
  <c r="I86" i="1"/>
  <c r="K86" i="1"/>
  <c r="Y34" i="1"/>
  <c r="H37" i="4"/>
  <c r="L11" i="7"/>
  <c r="N11" i="7"/>
  <c r="V22" i="1"/>
  <c r="I40" i="1"/>
  <c r="K40" i="1"/>
  <c r="I51" i="1"/>
  <c r="K51" i="1"/>
  <c r="I90" i="1"/>
  <c r="K90" i="1"/>
  <c r="Y22" i="1"/>
  <c r="H38" i="4"/>
  <c r="L12" i="7"/>
  <c r="N12" i="7"/>
  <c r="X13" i="1"/>
  <c r="H28" i="4"/>
  <c r="L2" i="7"/>
  <c r="O12" i="7"/>
  <c r="P12" i="7"/>
  <c r="Q12" i="7"/>
  <c r="Q3" i="7"/>
  <c r="Q4" i="7"/>
  <c r="Q5" i="7"/>
  <c r="Q6" i="7"/>
  <c r="Q7" i="7"/>
  <c r="Q8" i="7"/>
  <c r="Q9" i="7"/>
  <c r="Q10" i="7"/>
  <c r="Q11" i="7"/>
  <c r="Q2" i="7"/>
  <c r="P3" i="7"/>
  <c r="P4" i="7"/>
  <c r="P5" i="7"/>
  <c r="P6" i="7"/>
  <c r="P7" i="7"/>
  <c r="P8" i="7"/>
  <c r="P9" i="7"/>
  <c r="P10" i="7"/>
  <c r="P11" i="7"/>
  <c r="P2" i="7"/>
  <c r="O3" i="7"/>
  <c r="O4" i="7"/>
  <c r="O5" i="7"/>
  <c r="O6" i="7"/>
  <c r="O7" i="7"/>
  <c r="O8" i="7"/>
  <c r="O9" i="7"/>
  <c r="O10" i="7"/>
  <c r="O11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Z13" i="1"/>
  <c r="B2" i="8"/>
  <c r="Z14" i="1"/>
  <c r="B3" i="8"/>
  <c r="Z15" i="1"/>
  <c r="B4" i="8"/>
  <c r="Z16" i="1"/>
  <c r="B5" i="8"/>
  <c r="Z17" i="1"/>
  <c r="B6" i="8"/>
  <c r="Z19" i="1"/>
  <c r="B7" i="8"/>
  <c r="Z22" i="1"/>
  <c r="B8" i="8"/>
  <c r="Z34" i="1"/>
  <c r="B9" i="8"/>
  <c r="Z21" i="1"/>
  <c r="B10" i="8"/>
  <c r="Z25" i="1"/>
  <c r="B11" i="8"/>
  <c r="Z23" i="1"/>
  <c r="B12" i="8"/>
  <c r="Z18" i="1"/>
  <c r="B13" i="8"/>
  <c r="F11" i="8"/>
  <c r="F10" i="8"/>
  <c r="F9" i="8"/>
  <c r="F8" i="8"/>
  <c r="F7" i="8"/>
  <c r="F6" i="8"/>
  <c r="F5" i="8"/>
  <c r="F4" i="8"/>
  <c r="F3" i="8"/>
  <c r="F2" i="8"/>
  <c r="C3" i="4"/>
  <c r="G28" i="4"/>
  <c r="J2" i="7"/>
  <c r="A3" i="7"/>
  <c r="B8" i="7"/>
  <c r="C5" i="4"/>
  <c r="G29" i="4"/>
  <c r="J3" i="7"/>
  <c r="A7" i="7"/>
  <c r="B12" i="7"/>
  <c r="C6" i="4"/>
  <c r="G30" i="4"/>
  <c r="J4" i="7"/>
  <c r="A11" i="7"/>
  <c r="B16" i="7"/>
  <c r="C7" i="4"/>
  <c r="G31" i="4"/>
  <c r="J5" i="7"/>
  <c r="A15" i="7"/>
  <c r="B20" i="7"/>
  <c r="C8" i="4"/>
  <c r="G32" i="4"/>
  <c r="J6" i="7"/>
  <c r="A19" i="7"/>
  <c r="B24" i="7"/>
  <c r="C9" i="4"/>
  <c r="G33" i="4"/>
  <c r="J7" i="7"/>
  <c r="A23" i="7"/>
  <c r="B28" i="7"/>
  <c r="C12" i="4"/>
  <c r="G34" i="4"/>
  <c r="J8" i="7"/>
  <c r="A27" i="7"/>
  <c r="B32" i="7"/>
  <c r="C14" i="4"/>
  <c r="G35" i="4"/>
  <c r="J9" i="7"/>
  <c r="A31" i="7"/>
  <c r="B36" i="7"/>
  <c r="C13" i="4"/>
  <c r="G36" i="4"/>
  <c r="J10" i="7"/>
  <c r="A35" i="7"/>
  <c r="B40" i="7"/>
  <c r="C11" i="4"/>
  <c r="G37" i="4"/>
  <c r="J11" i="7"/>
  <c r="A39" i="7"/>
  <c r="B44" i="7"/>
  <c r="C10" i="4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C4" i="4"/>
  <c r="J38" i="4"/>
  <c r="J32" i="4"/>
  <c r="D61" i="5"/>
  <c r="D63" i="5"/>
  <c r="I37" i="4"/>
  <c r="J37" i="4"/>
  <c r="X34" i="1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X14" i="1"/>
  <c r="X22" i="1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<sst xmlns="http://schemas.openxmlformats.org/spreadsheetml/2006/main" count="15371" uniqueCount="7453">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</sst>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5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0.27878688749999986</c:v>
                </c:pt>
                <c:pt idx="1">
                  <c:v>0.69876685000000005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0.21911088749999999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6.1076224999999998E-2</c:v>
                </c:pt>
                <c:pt idx="6">
                  <c:v>5.6750000000000002E-2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10.390458846278054</c:v>
                </c:pt>
                <c:pt idx="1">
                  <c:v>11.631060512648</c:v>
                </c:pt>
                <c:pt idx="2">
                  <c:v>22.593146950757973</c:v>
                </c:pt>
                <c:pt idx="3">
                  <c:v>28.026644822712921</c:v>
                </c:pt>
                <c:pt idx="4">
                  <c:v>33.20881023470217</c:v>
                </c:pt>
                <c:pt idx="5">
                  <c:v>28.459130847395937</c:v>
                </c:pt>
                <c:pt idx="6">
                  <c:v>24.058844981443023</c:v>
                </c:pt>
                <c:pt idx="7">
                  <c:v>24.829376807487442</c:v>
                </c:pt>
                <c:pt idx="8">
                  <c:v>29.530659488658774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0.71190000000000009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1.1365241513750001E-2</c:v>
                </c:pt>
                <c:pt idx="1">
                  <c:v>5.3811431077499999E-2</c:v>
                </c:pt>
                <c:pt idx="2">
                  <c:v>0.11918286947874999</c:v>
                </c:pt>
                <c:pt idx="3">
                  <c:v>7.6992721956249996E-2</c:v>
                </c:pt>
                <c:pt idx="4">
                  <c:v>3.1456937638750002E-2</c:v>
                </c:pt>
                <c:pt idx="5">
                  <c:v>0.107861590195</c:v>
                </c:pt>
                <c:pt idx="6">
                  <c:v>0.15371955681125002</c:v>
                </c:pt>
                <c:pt idx="7">
                  <c:v>7.5959240501250011E-2</c:v>
                </c:pt>
                <c:pt idx="8">
                  <c:v>5.841367018749999E-3</c:v>
                </c:pt>
                <c:pt idx="9">
                  <c:v>2.6363448349999999E-2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1.120173E-2</c:v>
                </c:pt>
                <c:pt idx="1">
                  <c:v>3.9125990000000006E-2</c:v>
                </c:pt>
                <c:pt idx="2">
                  <c:v>0.10271703000000001</c:v>
                </c:pt>
                <c:pt idx="3">
                  <c:v>6.5978250000000016E-2</c:v>
                </c:pt>
                <c:pt idx="4">
                  <c:v>3.198848E-2</c:v>
                </c:pt>
                <c:pt idx="5">
                  <c:v>9.9665850000000014E-2</c:v>
                </c:pt>
                <c:pt idx="6">
                  <c:v>0.18537292000000002</c:v>
                </c:pt>
                <c:pt idx="7">
                  <c:v>5.6698750000000006E-2</c:v>
                </c:pt>
                <c:pt idx="8">
                  <c:v>3.7004100000000003E-3</c:v>
                </c:pt>
                <c:pt idx="9">
                  <c:v>2.6684090000000001E-2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"/>
  <sheetViews>
    <sheetView topLeftCell="A61" zoomScale="90" zoomScaleNormal="90" zoomScalePageLayoutView="90" workbookViewId="0">
      <selection activeCell="W14" sqref="W14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2" width="11.5" customWidth="1"/>
    <col min="23" max="23" width="9.625" bestFit="1" customWidth="1"/>
    <col min="25" max="25" width="11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-0.10034046974479163</v>
      </c>
      <c r="T2" s="18" t="s">
        <v>213</v>
      </c>
      <c r="U2" s="18">
        <f>(SUM(S4:S6) - SUM(Q4:Q6))/SUM(Q4:Q6)</f>
        <v>-0.16035159830437623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29.006905481225719</v>
      </c>
      <c r="I3" s="21">
        <f>$F3*$V$20</f>
        <v>3.5527837721191191</v>
      </c>
      <c r="J3" s="21">
        <f t="shared" ref="J3:J66" si="0">H3*(-$M3)</f>
        <v>214651.10056107031</v>
      </c>
      <c r="K3" s="21">
        <f t="shared" ref="K3:K66" si="1">I3*(-$M3)</f>
        <v>26290.599913681483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9.8735911602209949</v>
      </c>
      <c r="I4" s="21">
        <f>F4*$V$13</f>
        <v>1.1702762430939226</v>
      </c>
      <c r="J4" s="21">
        <f t="shared" si="0"/>
        <v>39099.420994475142</v>
      </c>
      <c r="K4" s="21">
        <f t="shared" si="1"/>
        <v>4634.2939226519338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-12186.71</v>
      </c>
      <c r="S4" s="69">
        <f>Q4+R4</f>
        <v>194048.40000000002</v>
      </c>
      <c r="T4" s="26">
        <f>S4/Q4-1</f>
        <v>-5.9091344824845682E-2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23.848980218700088</v>
      </c>
      <c r="I5" s="21">
        <f>E5*$V$21</f>
        <v>3.0297518122619489</v>
      </c>
      <c r="J5" s="21">
        <f t="shared" si="0"/>
        <v>94441.961666052346</v>
      </c>
      <c r="K5" s="21">
        <f t="shared" si="1"/>
        <v>11997.817176557317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-4020.57</v>
      </c>
      <c r="S5" s="69">
        <f>Q5+R5</f>
        <v>7979.43</v>
      </c>
      <c r="T5" s="26">
        <f>S5/Q5-1</f>
        <v>-0.33504749999999994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-78017.16</f>
        <v>-78017.16</v>
      </c>
      <c r="S6" s="69">
        <f>Q6+R6</f>
        <v>291359.20999999996</v>
      </c>
      <c r="T6" s="26">
        <f>S6/Q6-1</f>
        <v>-0.2112131861602301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30.261458782908932</v>
      </c>
      <c r="I7" s="21">
        <f>F7*$V$20</f>
        <v>3.7064422385268307</v>
      </c>
      <c r="J7" s="21">
        <f t="shared" si="0"/>
        <v>119835.37678031936</v>
      </c>
      <c r="K7" s="21">
        <f t="shared" si="1"/>
        <v>14677.51126456625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24.798465413441459</v>
      </c>
      <c r="I8" s="21">
        <f>E8*$V$21</f>
        <v>3.1503735102592456</v>
      </c>
      <c r="J8" s="21">
        <f t="shared" si="0"/>
        <v>98201.923037228175</v>
      </c>
      <c r="K8" s="21">
        <f t="shared" si="1"/>
        <v>12475.479100626613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24.689100626612607</v>
      </c>
      <c r="I10" s="21">
        <f>E10*$V$21</f>
        <v>3.1364799115370436</v>
      </c>
      <c r="J10" s="21">
        <f t="shared" si="0"/>
        <v>97768.83848138593</v>
      </c>
      <c r="K10" s="21">
        <f t="shared" si="1"/>
        <v>12420.460449686692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29.861969805895043</v>
      </c>
      <c r="I11" s="21">
        <f>F11*$V$19</f>
        <v>3.657512580877067</v>
      </c>
      <c r="J11" s="21">
        <f t="shared" si="0"/>
        <v>119256.76261682244</v>
      </c>
      <c r="K11" s="21">
        <f t="shared" si="1"/>
        <v>14606.642242990654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25.284311532611614</v>
      </c>
      <c r="I12" s="21">
        <f>F12*$V$16</f>
        <v>2.2893531359040891</v>
      </c>
      <c r="J12" s="21">
        <f t="shared" si="0"/>
        <v>98294.783827950261</v>
      </c>
      <c r="K12" s="21">
        <f t="shared" si="1"/>
        <v>8900.0434640780186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29.885154565061107</v>
      </c>
      <c r="I13" s="21">
        <f>F13*$V$19</f>
        <v>3.6603522645578721</v>
      </c>
      <c r="J13" s="21">
        <f t="shared" si="0"/>
        <v>119441.99725017972</v>
      </c>
      <c r="K13" s="21">
        <f t="shared" si="1"/>
        <v>14629.329895758447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2.5339999999999998</v>
      </c>
      <c r="S13" s="57">
        <v>10.039999999999999</v>
      </c>
      <c r="T13" s="58">
        <f t="shared" ref="T13:T25" si="2">S13/R13</f>
        <v>3.9621152328334648</v>
      </c>
      <c r="U13" s="57">
        <v>1.19</v>
      </c>
      <c r="V13" s="58">
        <f>U13/R13</f>
        <v>0.46961325966850831</v>
      </c>
      <c r="W13" s="87">
        <v>0.1181</v>
      </c>
      <c r="X13" s="75">
        <f>SUMIF(C:C,"=红利",J:J)/SUMIF(C:C,"=红利",M:M)*-1</f>
        <v>10.390458846278054</v>
      </c>
      <c r="Y13" s="75">
        <f>SUMIF(C:C,"=红利",K:K)/SUMIF(C:C,"=红利",M:M)*-1</f>
        <v>1.2315384489114429</v>
      </c>
      <c r="Z13" s="59">
        <f>(SUMIF(C:C,"=红利",M:M)*-1)/$Q$2</f>
        <v>5.8900000000000001E-2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23.72306969669858</v>
      </c>
      <c r="I14" s="21">
        <f>F14*$V$16</f>
        <v>2.1479914109331668</v>
      </c>
      <c r="J14" s="21">
        <f t="shared" si="0"/>
        <v>86513.290569920384</v>
      </c>
      <c r="K14" s="21">
        <f t="shared" si="1"/>
        <v>7833.2950773910734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2.464</v>
      </c>
      <c r="S14" s="57">
        <v>9.52</v>
      </c>
      <c r="T14" s="58">
        <f t="shared" si="2"/>
        <v>3.8636363636363633</v>
      </c>
      <c r="U14" s="57">
        <v>1.19</v>
      </c>
      <c r="V14" s="58">
        <f t="shared" ref="V14:V34" si="3">U14/R14</f>
        <v>0.48295454545454541</v>
      </c>
      <c r="W14" s="87">
        <v>0.12520000000000001</v>
      </c>
      <c r="X14" s="75">
        <f>SUMIF(C:C,"=50ETF",J:J)/SUMIF(C:C,"=50ETF",M:M)*-1</f>
        <v>9.2186363636363637</v>
      </c>
      <c r="Y14" s="75">
        <f>SUMIF(C:C,"=50ETF",K:K)/SUMIF(C:C,"=50ETF",M:M)*-1</f>
        <v>1.1523295454545455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24.75372527337511</v>
      </c>
      <c r="I15" s="21">
        <f>E15*$V$21</f>
        <v>3.1446897653274362</v>
      </c>
      <c r="J15" s="21">
        <f t="shared" si="0"/>
        <v>196049.50416513087</v>
      </c>
      <c r="K15" s="21">
        <f t="shared" si="1"/>
        <v>24905.942941393296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3.1884000000000001</v>
      </c>
      <c r="S15" s="57">
        <v>10.74</v>
      </c>
      <c r="T15" s="58">
        <f t="shared" si="2"/>
        <v>3.3684606699284907</v>
      </c>
      <c r="U15" s="57">
        <v>1.34</v>
      </c>
      <c r="V15" s="58">
        <f t="shared" si="3"/>
        <v>0.42027349140634801</v>
      </c>
      <c r="W15" s="87">
        <v>0.1244</v>
      </c>
      <c r="X15" s="75">
        <f>SUMIF(C:C,"=300ETF",J:J)/SUMIF(C:C,"=300ETF",M:M)*-1</f>
        <v>11.631060512648</v>
      </c>
      <c r="Y15" s="75">
        <f>SUMIF(C:C,"=300ETF",K:K)/SUMIF(C:C,"=300ETF",M:M)*-1</f>
        <v>1.4511751477605512</v>
      </c>
      <c r="Z15" s="59">
        <f>(SUMIF(C:C,"=300ETF",M:M)*-1)/$Q$2</f>
        <v>3.9856999999999997E-2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29.120057512580878</v>
      </c>
      <c r="I16" s="21">
        <f>F16*$V$19</f>
        <v>3.5666427030913015</v>
      </c>
      <c r="J16" s="21">
        <f t="shared" si="0"/>
        <v>113381.85593098491</v>
      </c>
      <c r="K16" s="21">
        <f t="shared" si="1"/>
        <v>13887.080028756291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4.4707999999999997</v>
      </c>
      <c r="S16" s="57">
        <v>17.45</v>
      </c>
      <c r="T16" s="58">
        <f t="shared" si="2"/>
        <v>3.9031045897825893</v>
      </c>
      <c r="U16" s="57">
        <v>1.58</v>
      </c>
      <c r="V16" s="58">
        <f t="shared" si="3"/>
        <v>0.35340431242730613</v>
      </c>
      <c r="W16" s="87">
        <v>9.0300000000000005E-2</v>
      </c>
      <c r="X16" s="75">
        <f>SUMIF(C:C,"=500ETF",J:J)/SUMIF(C:C,"=500ETF",M:M)*-1</f>
        <v>22.593146950757973</v>
      </c>
      <c r="Y16" s="75">
        <f>SUMIF(C:C,"=500ETF",K:K)/SUMIF(C:C,"=500ETF",M:M)*-1</f>
        <v>2.045683219610178</v>
      </c>
      <c r="Z16" s="59">
        <f>(SUMIF(C:C,"=500ETF",M:M)*-1)/$Q$2</f>
        <v>0.21911088749999999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0.52210000000000001</v>
      </c>
      <c r="S17" s="57">
        <v>19.940000000000001</v>
      </c>
      <c r="T17" s="58">
        <f t="shared" si="2"/>
        <v>38.191917257230415</v>
      </c>
      <c r="U17" s="57">
        <v>1.79</v>
      </c>
      <c r="V17" s="58">
        <f t="shared" si="3"/>
        <v>3.4284619804635126</v>
      </c>
      <c r="W17" s="87">
        <v>8.9899999999999994E-2</v>
      </c>
      <c r="X17" s="75">
        <f>SUMIF(C:C,"=1000ETF",J:J)/SUMIF(C:C,"=1000ETF",M:M)*-1</f>
        <v>28.026644822712921</v>
      </c>
      <c r="Y17" s="75">
        <f>SUMIF(C:C,"=1000ETF",K:K)/SUMIF(C:C,"=1000ETF",M:M)*-1</f>
        <v>2.5159325091602875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10.059810576164168</v>
      </c>
      <c r="I18" s="21">
        <f>F18*$V$13</f>
        <v>1.1923480662983426</v>
      </c>
      <c r="J18" s="21">
        <f t="shared" si="0"/>
        <v>39836.849881610106</v>
      </c>
      <c r="K18" s="21">
        <f t="shared" si="1"/>
        <v>4721.6983425414364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1.1933</v>
      </c>
      <c r="S18" s="57">
        <v>28.27</v>
      </c>
      <c r="T18" s="58">
        <f t="shared" si="2"/>
        <v>23.69060588284589</v>
      </c>
      <c r="U18" s="57">
        <v>3.33</v>
      </c>
      <c r="V18" s="58">
        <f t="shared" si="3"/>
        <v>2.79058074247884</v>
      </c>
      <c r="W18" s="87">
        <v>0.11799999999999999</v>
      </c>
      <c r="X18" s="75">
        <f>SUMIF(C:C,"=创业板",J:J)/SUMIF(C:C,"=创业板",M:M)*-1</f>
        <v>33.20881023470217</v>
      </c>
      <c r="Y18" s="75">
        <f>SUMIF(C:C,"=创业板",K:K)/SUMIF(C:C,"=创业板",M:M)*-1</f>
        <v>3.9117558571474427</v>
      </c>
      <c r="Z18" s="59">
        <f>(SUMIF(C:C,"=创业板",M:M)*-1)/$Q$2</f>
        <v>1.6085612499999999E-2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1.1128</v>
      </c>
      <c r="S19" s="57">
        <v>25.8</v>
      </c>
      <c r="T19" s="58">
        <f t="shared" si="2"/>
        <v>23.184759166067579</v>
      </c>
      <c r="U19" s="57">
        <v>3.16</v>
      </c>
      <c r="V19" s="58">
        <f t="shared" si="3"/>
        <v>2.8396836808051762</v>
      </c>
      <c r="W19" s="87">
        <v>0.12239999999999999</v>
      </c>
      <c r="X19" s="75">
        <f>SUMIF(C:C,"=医药",J:J)/SUMIF(C:C,"=医药",M:M)*-1</f>
        <v>28.459130847395937</v>
      </c>
      <c r="Y19" s="75">
        <f>SUMIF(C:C,"=医药",K:K)/SUMIF(C:C,"=医药",M:M)*-1</f>
        <v>3.4856919952624472</v>
      </c>
      <c r="Z19" s="94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25.701943723718351</v>
      </c>
      <c r="I20" s="21">
        <f>F20*$V$16</f>
        <v>2.3271673973338109</v>
      </c>
      <c r="J20" s="21">
        <f t="shared" si="0"/>
        <v>203137.36837590588</v>
      </c>
      <c r="K20" s="21">
        <f t="shared" si="1"/>
        <v>18392.95369821956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0.69510000000000005</v>
      </c>
      <c r="S20" s="57">
        <v>25.8</v>
      </c>
      <c r="T20" s="58">
        <f t="shared" si="2"/>
        <v>37.116961588260679</v>
      </c>
      <c r="U20" s="57">
        <v>3.16</v>
      </c>
      <c r="V20" s="58">
        <f t="shared" si="3"/>
        <v>4.5461084736009205</v>
      </c>
      <c r="W20" s="87">
        <v>0.12239999999999999</v>
      </c>
      <c r="X20" s="75">
        <f>SUMIF(C:C,"=医药",J:J)/SUMIF(C:C,"=医药",M:M)*-1</f>
        <v>28.459130847395937</v>
      </c>
      <c r="Y20" s="75">
        <f>SUMIF(C:C,"=医药",K:K)/SUMIF(C:C,"=医药",M:M)*-1</f>
        <v>3.4856919952624472</v>
      </c>
      <c r="Z20" s="95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28.934091004403442</v>
      </c>
      <c r="I21" s="21">
        <f>F21*$V$24</f>
        <v>2.4809855315579785</v>
      </c>
      <c r="J21" s="21">
        <f t="shared" si="0"/>
        <v>115736.36401761377</v>
      </c>
      <c r="K21" s="21">
        <f t="shared" si="1"/>
        <v>9923.9421262319138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0.81389999999999996</v>
      </c>
      <c r="S21" s="57">
        <v>20.23</v>
      </c>
      <c r="T21" s="58">
        <f t="shared" si="2"/>
        <v>24.855633370192901</v>
      </c>
      <c r="U21" s="57">
        <v>2.57</v>
      </c>
      <c r="V21" s="58">
        <f t="shared" si="3"/>
        <v>3.1576360732276694</v>
      </c>
      <c r="W21" s="87">
        <v>0.12720000000000001</v>
      </c>
      <c r="X21" s="75">
        <f>SUMIF(C:C,"=养老",J:J)/SUMIF(C:C,"=养老",M:M)*-1</f>
        <v>24.058844981443023</v>
      </c>
      <c r="Y21" s="75">
        <f>SUMIF(C:C,"=养老",K:K)/SUMIF(C:C,"=养老",M:M)*-1</f>
        <v>3.0106090261010103</v>
      </c>
      <c r="Z21" s="59">
        <f>(SUMIF(C:C,"=养老",M:M)*-1)/$Q$2</f>
        <v>5.6750000000000002E-2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25.135993558199878</v>
      </c>
      <c r="I22" s="21">
        <f t="shared" ref="I22:I23" si="4">F22*$V$16</f>
        <v>2.2759237720318515</v>
      </c>
      <c r="J22" s="21">
        <f t="shared" si="0"/>
        <v>97144.833823924142</v>
      </c>
      <c r="K22" s="21">
        <f t="shared" si="1"/>
        <v>8795.9219164355382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0.63009999999999999</v>
      </c>
      <c r="S22" s="57">
        <v>16.940000000000001</v>
      </c>
      <c r="T22" s="58">
        <f t="shared" si="2"/>
        <v>26.884621488652598</v>
      </c>
      <c r="U22" s="57">
        <v>1.05</v>
      </c>
      <c r="V22" s="58">
        <f t="shared" si="3"/>
        <v>1.6664021583875577</v>
      </c>
      <c r="W22" s="87">
        <v>6.1899999999999997E-2</v>
      </c>
      <c r="X22" s="75">
        <f>SUMIF(C:C,"=证券",J:J)/SUMIF(C:C,"=证券",M:M)*-1</f>
        <v>21.423833019978389</v>
      </c>
      <c r="Y22" s="75">
        <f>SUMIF(C:C,"=证券",K:K)/SUMIF(C:C,"=证券",M:M)*-1</f>
        <v>1.3279235342961813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25.65900957323074</v>
      </c>
      <c r="I23" s="21">
        <f t="shared" si="4"/>
        <v>2.3232799498971106</v>
      </c>
      <c r="J23" s="21">
        <f t="shared" si="0"/>
        <v>101229.66797821419</v>
      </c>
      <c r="K23" s="21">
        <f t="shared" si="1"/>
        <v>9165.7808255345826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0.62329999999999997</v>
      </c>
      <c r="S23" s="57">
        <v>17.96</v>
      </c>
      <c r="T23" s="58">
        <f t="shared" si="2"/>
        <v>28.814375100272745</v>
      </c>
      <c r="U23" s="57">
        <v>1.54</v>
      </c>
      <c r="V23" s="58">
        <f t="shared" si="3"/>
        <v>2.4707203593775069</v>
      </c>
      <c r="W23" s="87">
        <v>8.5699999999999998E-2</v>
      </c>
      <c r="X23" s="75">
        <f>SUMIF(C:C,"=环保",J:J)/SUMIF(C:C,"=环保",M:M)*-1</f>
        <v>24.829376807487442</v>
      </c>
      <c r="Y23" s="75">
        <f>SUMIF(C:C,"=环保",K:K)/SUMIF(C:C,"=环保",M:M)*-1</f>
        <v>2.1290222875017069</v>
      </c>
      <c r="Z23" s="94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11.192975532754538</v>
      </c>
      <c r="I24" s="21">
        <f>F24*$V$13</f>
        <v>1.326657458563536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0.47689999999999999</v>
      </c>
      <c r="S24" s="57">
        <v>17.96</v>
      </c>
      <c r="T24" s="58">
        <f t="shared" si="2"/>
        <v>37.659886768714621</v>
      </c>
      <c r="U24" s="57">
        <v>1.54</v>
      </c>
      <c r="V24" s="58">
        <f t="shared" si="3"/>
        <v>3.2291885091214092</v>
      </c>
      <c r="W24" s="87">
        <v>8.5699999999999998E-2</v>
      </c>
      <c r="X24" s="75">
        <f>SUMIF(C:C,"=环保",J:J)/SUMIF(C:C,"=环保",M:M)*-1</f>
        <v>24.829376807487442</v>
      </c>
      <c r="Y24" s="75">
        <f>SUMIF(C:C,"=环保",K:K)/SUMIF(C:C,"=环保",M:M)*-1</f>
        <v>2.1290222875017069</v>
      </c>
      <c r="Z24" s="95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33.569131832797424</v>
      </c>
      <c r="I25" s="21">
        <f>F25*$V$25</f>
        <v>3.87459807073955</v>
      </c>
      <c r="J25" s="21">
        <f t="shared" si="0"/>
        <v>134303.38263665594</v>
      </c>
      <c r="K25" s="21">
        <f t="shared" si="1"/>
        <v>15501.491961414793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0.622</v>
      </c>
      <c r="S25" s="57">
        <v>20.88</v>
      </c>
      <c r="T25" s="58">
        <f t="shared" si="2"/>
        <v>33.569131832797424</v>
      </c>
      <c r="U25" s="57">
        <v>2.41</v>
      </c>
      <c r="V25" s="58">
        <f t="shared" si="3"/>
        <v>3.87459807073955</v>
      </c>
      <c r="W25" s="87">
        <v>0.11559999999999999</v>
      </c>
      <c r="X25" s="75">
        <f>SUMIF(C:C,"=传媒",J:J)/SUMIF(C:C,"=传媒",M:M)*-1</f>
        <v>29.530659488658774</v>
      </c>
      <c r="Y25" s="75">
        <f>SUMIF(C:C,"=传媒",K:K)/SUMIF(C:C,"=传媒",M:M)*-1</f>
        <v>3.4084717130109023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25.1750246040977</v>
      </c>
      <c r="I26" s="21">
        <f>F26*$V$16</f>
        <v>2.2794578151561247</v>
      </c>
      <c r="J26" s="21">
        <f t="shared" si="0"/>
        <v>97446.729986803257</v>
      </c>
      <c r="K26" s="21">
        <f t="shared" si="1"/>
        <v>8823.256927171873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0.83599999999999997</v>
      </c>
      <c r="S26" s="57">
        <v>9.52</v>
      </c>
      <c r="T26" s="58">
        <f t="shared" ref="T26:T34" si="5">S26/R26</f>
        <v>11.387559808612441</v>
      </c>
      <c r="U26" s="57">
        <v>1.19</v>
      </c>
      <c r="V26" s="58">
        <f t="shared" si="3"/>
        <v>1.4234449760765551</v>
      </c>
      <c r="W26" s="87">
        <v>0.12520000000000001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26.312962885300905</v>
      </c>
      <c r="I27" s="21">
        <f>F27*$V$24</f>
        <v>2.2562340113231287</v>
      </c>
      <c r="J27" s="21">
        <f t="shared" si="0"/>
        <v>105251.85154120362</v>
      </c>
      <c r="K27" s="21">
        <f t="shared" si="1"/>
        <v>9024.9360452925157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1.6286</v>
      </c>
      <c r="S27" s="57">
        <v>17.45</v>
      </c>
      <c r="T27" s="58">
        <f t="shared" si="5"/>
        <v>10.714724303082402</v>
      </c>
      <c r="U27" s="57">
        <v>1.58</v>
      </c>
      <c r="V27" s="58">
        <f t="shared" si="3"/>
        <v>0.97015841827336369</v>
      </c>
      <c r="W27" s="87">
        <v>9.0300000000000005E-2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23.586461036056189</v>
      </c>
      <c r="I28" s="21">
        <f t="shared" ref="I28:I29" si="6">F28*$V$16</f>
        <v>2.1356222599982111</v>
      </c>
      <c r="J28" s="21">
        <f t="shared" si="0"/>
        <v>185329.90999698042</v>
      </c>
      <c r="K28" s="21">
        <f t="shared" si="1"/>
        <v>16780.587839268144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0.46500000000000002</v>
      </c>
      <c r="S28" s="57">
        <v>17.45</v>
      </c>
      <c r="T28" s="58">
        <f t="shared" si="5"/>
        <v>37.526881720430104</v>
      </c>
      <c r="U28" s="57">
        <v>1.58</v>
      </c>
      <c r="V28" s="58">
        <f t="shared" si="3"/>
        <v>3.3978494623655915</v>
      </c>
      <c r="W28" s="87">
        <v>9.0300000000000005E-2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23.477174107542275</v>
      </c>
      <c r="I29" s="21">
        <f t="shared" si="6"/>
        <v>2.1257269392502463</v>
      </c>
      <c r="J29" s="21">
        <f t="shared" si="0"/>
        <v>1172320.4809295877</v>
      </c>
      <c r="K29" s="21">
        <f t="shared" si="1"/>
        <v>106147.06933345264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1.64</v>
      </c>
      <c r="S29" s="57">
        <v>17.45</v>
      </c>
      <c r="T29" s="58">
        <f t="shared" si="5"/>
        <v>10.640243902439025</v>
      </c>
      <c r="U29" s="57">
        <v>1.58</v>
      </c>
      <c r="V29" s="58">
        <f t="shared" si="3"/>
        <v>0.96341463414634154</v>
      </c>
      <c r="W29" s="87">
        <v>9.0300000000000005E-2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10.646203630623519</v>
      </c>
      <c r="I30" s="21">
        <f>F30*$V$13</f>
        <v>1.2618508287292818</v>
      </c>
      <c r="J30" s="21">
        <f t="shared" si="0"/>
        <v>212924.07261247039</v>
      </c>
      <c r="K30" s="21">
        <f t="shared" si="1"/>
        <v>25237.016574585636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0.74299999999999999</v>
      </c>
      <c r="S30" s="57">
        <v>17.45</v>
      </c>
      <c r="T30" s="58">
        <f t="shared" si="5"/>
        <v>23.48586810228802</v>
      </c>
      <c r="U30" s="57">
        <v>1.58</v>
      </c>
      <c r="V30" s="58">
        <f t="shared" si="3"/>
        <v>2.1265141318977121</v>
      </c>
      <c r="W30" s="87">
        <v>9.0300000000000005E-2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29.636927791610802</v>
      </c>
      <c r="I31" s="21">
        <f>F31*$V$17</f>
        <v>2.660486496839686</v>
      </c>
      <c r="J31" s="21">
        <f t="shared" si="0"/>
        <v>593473.55164144794</v>
      </c>
      <c r="K31" s="21">
        <f t="shared" si="1"/>
        <v>53275.710001915344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1.5720000000000001</v>
      </c>
      <c r="S31" s="57">
        <v>10.74</v>
      </c>
      <c r="T31" s="58">
        <f t="shared" si="5"/>
        <v>6.8320610687022896</v>
      </c>
      <c r="U31" s="57">
        <v>1.34</v>
      </c>
      <c r="V31" s="58">
        <f t="shared" si="3"/>
        <v>0.8524173027989822</v>
      </c>
      <c r="W31" s="87">
        <v>0.1244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29.025857115495114</v>
      </c>
      <c r="I32" s="21">
        <f>F32*$V$17</f>
        <v>2.6056311051522698</v>
      </c>
      <c r="J32" s="21">
        <f t="shared" si="0"/>
        <v>291245.74055544916</v>
      </c>
      <c r="K32" s="21">
        <f t="shared" si="1"/>
        <v>26144.928565408929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1.044</v>
      </c>
      <c r="S32" s="57">
        <v>10.74</v>
      </c>
      <c r="T32" s="58">
        <f t="shared" si="5"/>
        <v>10.287356321839081</v>
      </c>
      <c r="U32" s="57">
        <v>1.34</v>
      </c>
      <c r="V32" s="58">
        <f t="shared" si="3"/>
        <v>1.2835249042145593</v>
      </c>
      <c r="W32" s="87">
        <v>0.1244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0.62380000000000002</v>
      </c>
      <c r="S33" s="57">
        <v>20.88</v>
      </c>
      <c r="T33" s="58">
        <f t="shared" si="5"/>
        <v>33.472266752164153</v>
      </c>
      <c r="U33" s="57">
        <v>2.41</v>
      </c>
      <c r="V33" s="58">
        <f t="shared" si="3"/>
        <v>3.8634177621032384</v>
      </c>
      <c r="W33" s="87">
        <v>0.11559999999999999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25.87987418746069</v>
      </c>
      <c r="I34" s="21">
        <f>F34*$V$24</f>
        <v>2.2190983434682323</v>
      </c>
      <c r="J34" s="21">
        <f t="shared" si="0"/>
        <v>103519.49674984276</v>
      </c>
      <c r="K34" s="21">
        <f t="shared" si="1"/>
        <v>8876.3933738729284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0.85429999999999995</v>
      </c>
      <c r="S34" s="57">
        <v>7.69</v>
      </c>
      <c r="T34" s="58">
        <f t="shared" si="5"/>
        <v>9.0015217136837187</v>
      </c>
      <c r="U34" s="57">
        <v>1.06</v>
      </c>
      <c r="V34" s="58">
        <f t="shared" si="3"/>
        <v>1.2407819267236335</v>
      </c>
      <c r="W34" s="87"/>
      <c r="X34" s="75">
        <f>SUMIF(C:C,"=金融地产",J:J)/SUMIF(C:C,"=金融地产",M:M)*-1</f>
        <v>8.1739818174723951</v>
      </c>
      <c r="Y34" s="75">
        <f>SUMIF(C:C,"=金融地产",K:K)/SUMIF(C:C,"=金融地产",M:M)*-1</f>
        <v>1.1267127082601742</v>
      </c>
      <c r="Z34" s="59">
        <f>(SUMIF(C:C,"=金融地产",M:M)*-1)/$Q$2</f>
        <v>2.4E-2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25.904123215145198</v>
      </c>
      <c r="I35" s="21">
        <f>F35*$V$23</f>
        <v>2.2211776030803789</v>
      </c>
      <c r="J35" s="21">
        <f t="shared" si="0"/>
        <v>104816.11280667417</v>
      </c>
      <c r="K35" s="21">
        <f t="shared" si="1"/>
        <v>8987.5731471201671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1.119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1.3891</v>
      </c>
      <c r="S36" s="57">
        <v>9.42</v>
      </c>
      <c r="T36" s="58">
        <f>S36/R36</f>
        <v>6.7813692318767549</v>
      </c>
      <c r="U36" s="57">
        <v>1.08</v>
      </c>
      <c r="V36" s="58">
        <f>U36/R36</f>
        <v>0.77748182276294009</v>
      </c>
      <c r="W36" s="58"/>
      <c r="X36" s="2"/>
      <c r="Y36" s="74"/>
      <c r="Z36" s="59">
        <v>0</v>
      </c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31.756398713826361</v>
      </c>
      <c r="I37" s="21">
        <f>F37*$V$25</f>
        <v>3.6653697749196139</v>
      </c>
      <c r="J37" s="21">
        <f t="shared" si="0"/>
        <v>204323.52740064304</v>
      </c>
      <c r="K37" s="21">
        <f t="shared" si="1"/>
        <v>23583.319015112538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1.0031000000000001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26.451596342050379</v>
      </c>
      <c r="I38" s="21">
        <f>F38*$V$23</f>
        <v>2.2681212899085512</v>
      </c>
      <c r="J38" s="21">
        <f t="shared" si="0"/>
        <v>507607.19186780049</v>
      </c>
      <c r="K38" s="21">
        <f t="shared" si="1"/>
        <v>43525.338278196694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1.4279999999999999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3.6032999999999999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23.900428503412162</v>
      </c>
      <c r="I40" s="21">
        <f>F40*$V$22</f>
        <v>1.4814315188065388</v>
      </c>
      <c r="J40" s="21">
        <f t="shared" si="0"/>
        <v>306024.91062624985</v>
      </c>
      <c r="K40" s="21">
        <f t="shared" si="1"/>
        <v>18968.486195841931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1.0301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31.756398713826361</v>
      </c>
      <c r="I41" s="21">
        <f>F41*$V$25</f>
        <v>3.6653697749196139</v>
      </c>
      <c r="J41" s="21">
        <f t="shared" si="0"/>
        <v>204323.52740064304</v>
      </c>
      <c r="K41" s="21">
        <f t="shared" si="1"/>
        <v>23583.319015112538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23.434239957054665</v>
      </c>
      <c r="I42" s="21">
        <f>F42*$V$16</f>
        <v>2.1218394918135459</v>
      </c>
      <c r="J42" s="21">
        <f t="shared" si="0"/>
        <v>154800.02756911513</v>
      </c>
      <c r="K42" s="21">
        <f t="shared" si="1"/>
        <v>14016.277567862577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23.059541916435538</v>
      </c>
      <c r="I44" s="21">
        <f>F44*$V$16</f>
        <v>2.0879126778205248</v>
      </c>
      <c r="J44" s="21">
        <f t="shared" si="0"/>
        <v>149889.32841102264</v>
      </c>
      <c r="K44" s="21">
        <f t="shared" si="1"/>
        <v>13571.641197101195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8.4974364977174304</v>
      </c>
      <c r="I45" s="21">
        <f>F45*$V$34</f>
        <v>1.17129813882711</v>
      </c>
      <c r="J45" s="21">
        <f t="shared" si="0"/>
        <v>54383.593585391558</v>
      </c>
      <c r="K45" s="21">
        <f t="shared" si="1"/>
        <v>7496.3080884935043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22.641909725328802</v>
      </c>
      <c r="I46" s="21">
        <f>F46*$V$16</f>
        <v>2.0500984163908029</v>
      </c>
      <c r="J46" s="21">
        <f t="shared" si="0"/>
        <v>433527.58895913488</v>
      </c>
      <c r="K46" s="21">
        <f t="shared" si="1"/>
        <v>39253.500891428834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12.27130222054949</v>
      </c>
      <c r="I47" s="21">
        <f>F47*$V$15</f>
        <v>1.5310563291933257</v>
      </c>
      <c r="J47" s="21">
        <f t="shared" si="0"/>
        <v>80483.912586940147</v>
      </c>
      <c r="K47" s="21">
        <f t="shared" si="1"/>
        <v>10041.754456843557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21.564652858548808</v>
      </c>
      <c r="I48" s="21">
        <f t="shared" ref="I48:I49" si="7">F48*$V$16</f>
        <v>1.9525588261608664</v>
      </c>
      <c r="J48" s="21">
        <f t="shared" si="0"/>
        <v>274087.60041826969</v>
      </c>
      <c r="K48" s="21">
        <f t="shared" si="1"/>
        <v>24817.100782857658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21.127505144493156</v>
      </c>
      <c r="I49" s="21">
        <f t="shared" si="7"/>
        <v>1.9129775431690081</v>
      </c>
      <c r="J49" s="21">
        <f t="shared" si="0"/>
        <v>137263.28817325758</v>
      </c>
      <c r="K49" s="21">
        <f t="shared" si="1"/>
        <v>12428.423800214729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20.67427392477385</v>
      </c>
      <c r="I51" s="21">
        <f>F51*$V$22</f>
        <v>1.281463259800032</v>
      </c>
      <c r="J51" s="21">
        <f t="shared" si="0"/>
        <v>131984.15125027776</v>
      </c>
      <c r="K51" s="21">
        <f t="shared" si="1"/>
        <v>8180.8358212982075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34.777809436017769</v>
      </c>
      <c r="I52" s="21">
        <f>F52*$V$18</f>
        <v>4.0965725299589373</v>
      </c>
      <c r="J52" s="21">
        <f t="shared" si="0"/>
        <v>224681.69008329842</v>
      </c>
      <c r="K52" s="21">
        <f t="shared" si="1"/>
        <v>26465.865864074414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11.614452389913435</v>
      </c>
      <c r="I53" s="21">
        <f>F53*$V$15</f>
        <v>1.449102998369088</v>
      </c>
      <c r="J53" s="21">
        <f t="shared" si="0"/>
        <v>72098.339233722232</v>
      </c>
      <c r="K53" s="21">
        <f t="shared" si="1"/>
        <v>8995.5097367958861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22.014182576608377</v>
      </c>
      <c r="I54" s="21">
        <f>F54*$V$23</f>
        <v>1.8876303545644153</v>
      </c>
      <c r="J54" s="21">
        <f t="shared" si="0"/>
        <v>141306.39625733998</v>
      </c>
      <c r="K54" s="21">
        <f t="shared" si="1"/>
        <v>12116.472730306434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7.6512934566311603</v>
      </c>
      <c r="I55" s="21">
        <f>F55*$V$34</f>
        <v>1.0546646377150886</v>
      </c>
      <c r="J55" s="21">
        <f t="shared" ref="J55" si="11">H55*(-$M55)</f>
        <v>48968.278122439428</v>
      </c>
      <c r="K55" s="21">
        <f t="shared" ref="K55" si="12">I55*(-$M55)</f>
        <v>6749.8536813765668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10.34904498816101</v>
      </c>
      <c r="I56" s="21">
        <f>F56*$V$13</f>
        <v>1.2266298342541437</v>
      </c>
      <c r="J56" s="21">
        <f t="shared" si="0"/>
        <v>66233.887924230468</v>
      </c>
      <c r="K56" s="21">
        <f t="shared" si="1"/>
        <v>7850.4309392265195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24.848176680181844</v>
      </c>
      <c r="I57" s="21">
        <f>E57*$V$21</f>
        <v>3.1566887824057011</v>
      </c>
      <c r="J57" s="21">
        <f t="shared" si="0"/>
        <v>159028.33075316381</v>
      </c>
      <c r="K57" s="21">
        <f t="shared" si="1"/>
        <v>20202.808207396487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10.277726913970007</v>
      </c>
      <c r="I58" s="21">
        <f>F58*$V$13</f>
        <v>1.2181767955801104</v>
      </c>
      <c r="J58" s="21">
        <f t="shared" si="0"/>
        <v>65777.452249408045</v>
      </c>
      <c r="K58" s="21">
        <f t="shared" si="1"/>
        <v>7796.3314917127063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9.2186363636363637</v>
      </c>
      <c r="I60" s="21">
        <f>F60*$V$14</f>
        <v>1.1523295454545455</v>
      </c>
      <c r="J60" s="21">
        <f t="shared" si="0"/>
        <v>59400.19122272727</v>
      </c>
      <c r="K60" s="21">
        <f t="shared" si="1"/>
        <v>7425.0239028409087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27.459549839228291</v>
      </c>
      <c r="I62" s="21">
        <f>F62*$V$25</f>
        <v>3.1694212218649516</v>
      </c>
      <c r="J62" s="21">
        <f t="shared" si="0"/>
        <v>175238.06001800642</v>
      </c>
      <c r="K62" s="21">
        <f t="shared" si="1"/>
        <v>20226.232023151126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24.901130051714233</v>
      </c>
      <c r="I64" s="21">
        <f>F64*$V$17</f>
        <v>2.2353572112622104</v>
      </c>
      <c r="J64" s="21">
        <f t="shared" si="0"/>
        <v>81193.869703122022</v>
      </c>
      <c r="K64" s="21">
        <f t="shared" si="1"/>
        <v>7288.7174909021269</v>
      </c>
      <c r="L64" s="5" t="s">
        <v>24</v>
      </c>
      <c r="M64" s="1">
        <v>-3260.65</v>
      </c>
      <c r="N64" s="4">
        <v>0.65</v>
      </c>
      <c r="O64" s="4"/>
      <c r="R64" s="15"/>
    </row>
    <row r="65" spans="1:18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21.158729981211419</v>
      </c>
      <c r="I65" s="21">
        <f>F65*$V$16</f>
        <v>1.9158047776684266</v>
      </c>
      <c r="J65" s="21">
        <f t="shared" si="0"/>
        <v>137669.27662275211</v>
      </c>
      <c r="K65" s="21">
        <f t="shared" si="1"/>
        <v>12465.183785899617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23.640796782225628</v>
      </c>
      <c r="I66" s="21">
        <f>F66*$V$17</f>
        <v>2.1222179659069145</v>
      </c>
      <c r="J66" s="21">
        <f t="shared" si="0"/>
        <v>76110.126792568481</v>
      </c>
      <c r="K66" s="21">
        <f t="shared" si="1"/>
        <v>6832.3534081593571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20.07757000984164</v>
      </c>
      <c r="I67" s="21">
        <f>F67*$V$16</f>
        <v>1.8179117831260627</v>
      </c>
      <c r="J67" s="21">
        <f t="shared" ref="J67:J82" si="15">H67*(-$M67)</f>
        <v>123959.51956786258</v>
      </c>
      <c r="K67" s="21">
        <f t="shared" ref="K67:K82" si="16">I67*(-$M67)</f>
        <v>11223.841886373804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11.237184794881445</v>
      </c>
      <c r="I68" s="21">
        <f>F68*$V$15</f>
        <v>1.4020323673315769</v>
      </c>
      <c r="J68" s="21">
        <f t="shared" si="15"/>
        <v>71240.043328566055</v>
      </c>
      <c r="K68" s="21">
        <f t="shared" si="16"/>
        <v>8888.4225382009772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29.166427030913013</v>
      </c>
      <c r="I69" s="21">
        <f>F69*$V$19</f>
        <v>3.5723220704529117</v>
      </c>
      <c r="J69" s="21">
        <f t="shared" si="15"/>
        <v>187163.29557153129</v>
      </c>
      <c r="K69" s="21">
        <f t="shared" si="16"/>
        <v>22923.87651186197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10.269802683504341</v>
      </c>
      <c r="I71" s="21">
        <f>F71*$V$13</f>
        <v>1.2172375690607735</v>
      </c>
      <c r="J71" s="21">
        <f t="shared" si="15"/>
        <v>65726.737174427792</v>
      </c>
      <c r="K71" s="21">
        <f t="shared" si="16"/>
        <v>7790.3204419889507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22.310416513085148</v>
      </c>
      <c r="I73" s="21">
        <f>E73*$V$21</f>
        <v>2.8342941393291561</v>
      </c>
      <c r="J73" s="21">
        <f t="shared" si="15"/>
        <v>142786.66568374494</v>
      </c>
      <c r="K73" s="21">
        <f t="shared" si="16"/>
        <v>18139.4824917066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29.006905481225719</v>
      </c>
      <c r="I74" s="21">
        <f>F74*$V$20</f>
        <v>3.5527837721191191</v>
      </c>
      <c r="J74" s="21">
        <f t="shared" si="15"/>
        <v>185644.19507984459</v>
      </c>
      <c r="K74" s="21">
        <f t="shared" si="16"/>
        <v>22737.816141562362</v>
      </c>
      <c r="L74" s="7" t="s">
        <v>10</v>
      </c>
      <c r="M74" s="4">
        <v>-6400</v>
      </c>
      <c r="N74" s="4">
        <v>7.67</v>
      </c>
      <c r="O74" s="4"/>
      <c r="P74" s="15"/>
      <c r="Q74" s="15"/>
      <c r="R74" s="15"/>
    </row>
    <row r="75" spans="1:18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24.848176680181844</v>
      </c>
      <c r="I75" s="21">
        <f>E75*$V$21</f>
        <v>2.8317680304705739</v>
      </c>
      <c r="J75" s="21">
        <f t="shared" si="15"/>
        <v>159028.33075316381</v>
      </c>
      <c r="K75" s="21">
        <f t="shared" si="16"/>
        <v>18123.315395011672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24.572604501607714</v>
      </c>
      <c r="I76" s="21">
        <f>F76*$V$25</f>
        <v>2.8362057877813505</v>
      </c>
      <c r="J76" s="21">
        <f t="shared" si="15"/>
        <v>156519.38171575562</v>
      </c>
      <c r="K76" s="21">
        <f t="shared" si="16"/>
        <v>18065.694920257236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20.097085532790551</v>
      </c>
      <c r="I77" s="21">
        <f t="shared" ref="I77:I79" si="17">F77*$V$16</f>
        <v>1.8196788046881993</v>
      </c>
      <c r="J77" s="21">
        <f t="shared" si="15"/>
        <v>124200.79247606691</v>
      </c>
      <c r="K77" s="21">
        <f t="shared" si="16"/>
        <v>11245.687800125259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20.030732754764248</v>
      </c>
      <c r="I78" s="21">
        <f t="shared" si="17"/>
        <v>1.813670931376935</v>
      </c>
      <c r="J78" s="21">
        <f t="shared" si="15"/>
        <v>10281.775123020487</v>
      </c>
      <c r="K78" s="21">
        <f t="shared" si="16"/>
        <v>930.95728907578064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19.792643374787509</v>
      </c>
      <c r="I79" s="21">
        <f t="shared" si="17"/>
        <v>1.7921132683188694</v>
      </c>
      <c r="J79" s="21">
        <f t="shared" si="15"/>
        <v>130505.16920886641</v>
      </c>
      <c r="K79" s="21">
        <f t="shared" si="16"/>
        <v>11816.513888252664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11.307922468949943</v>
      </c>
      <c r="I80" s="21">
        <f>F80*$V$15</f>
        <v>1.4108581106511104</v>
      </c>
      <c r="J80" s="21">
        <f t="shared" si="15"/>
        <v>72139.796024463678</v>
      </c>
      <c r="K80" s="21">
        <f t="shared" si="16"/>
        <v>9000.6821855476119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22.34227159547979</v>
      </c>
      <c r="I81" s="21">
        <f>F81*$V$17</f>
        <v>2.0056502585711549</v>
      </c>
      <c r="J81" s="21">
        <f t="shared" si="15"/>
        <v>70593.311601225811</v>
      </c>
      <c r="K81" s="21">
        <f t="shared" si="16"/>
        <v>6337.1127264891784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19.41794533416838</v>
      </c>
      <c r="I82" s="21">
        <f>F82*$V$16</f>
        <v>1.7581864543258479</v>
      </c>
      <c r="J82" s="21">
        <f t="shared" si="15"/>
        <v>125610.61059821508</v>
      </c>
      <c r="K82" s="21">
        <f t="shared" si="16"/>
        <v>11373.338953878501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11.703320610687022</v>
      </c>
      <c r="I83" s="21">
        <f>F83*$V$31</f>
        <v>1.4601908396946566</v>
      </c>
      <c r="J83" s="21">
        <f>H83*(-$M83)</f>
        <v>74901.251908396938</v>
      </c>
      <c r="K83" s="21">
        <f t="shared" ref="K83:K86" si="18">I83*(-$M83)</f>
        <v>9345.2213740458028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19">H84*(-$M84)</f>
        <v>0</v>
      </c>
      <c r="K84" s="21">
        <f t="shared" si="18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22.65093869025679</v>
      </c>
      <c r="I85" s="21">
        <f>E85*$V$21</f>
        <v>2.877553753532375</v>
      </c>
      <c r="J85" s="21">
        <f t="shared" si="19"/>
        <v>144966.00761764345</v>
      </c>
      <c r="K85" s="21">
        <f t="shared" si="18"/>
        <v>18416.344022607198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8.3732154980685962</v>
      </c>
      <c r="I86" s="21">
        <f>F86*$V$34</f>
        <v>1.1541753482383239</v>
      </c>
      <c r="J86" s="21">
        <f t="shared" si="19"/>
        <v>53588.579187639014</v>
      </c>
      <c r="K86" s="21">
        <f t="shared" si="18"/>
        <v>7386.7222287252735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31.626958853599263</v>
      </c>
      <c r="I87" s="21">
        <f>F87*$V$18</f>
        <v>3.7254252912092514</v>
      </c>
      <c r="J87" s="21">
        <f t="shared" ref="J87:J91" si="20">H87*(-$M87)</f>
        <v>202665.55233386406</v>
      </c>
      <c r="K87" s="21">
        <f t="shared" ref="K87:K91" si="21">I87*(-$M87)</f>
        <v>23872.525266068882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18.067471146103603</v>
      </c>
      <c r="I88" s="21">
        <f t="shared" ref="I88" si="22">F88*$V$16</f>
        <v>1.6359085622259999</v>
      </c>
      <c r="J88" s="21">
        <f t="shared" si="20"/>
        <v>117111.54122192894</v>
      </c>
      <c r="K88" s="21">
        <f t="shared" si="21"/>
        <v>10603.795709492708</v>
      </c>
      <c r="L88" s="5" t="s">
        <v>24</v>
      </c>
      <c r="M88" s="1">
        <v>-6481.9</v>
      </c>
      <c r="N88" s="4">
        <v>1.3</v>
      </c>
      <c r="O88" s="4"/>
      <c r="P88" s="15"/>
      <c r="Q88" s="15"/>
      <c r="R88" s="15"/>
    </row>
    <row r="89" spans="1:18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25.944756150194213</v>
      </c>
      <c r="I89" s="21">
        <f>F89*$V$20</f>
        <v>3.1777298230470432</v>
      </c>
      <c r="J89" s="21">
        <f t="shared" si="20"/>
        <v>166046.43936124296</v>
      </c>
      <c r="K89" s="21">
        <f t="shared" si="21"/>
        <v>20337.470867501077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</row>
    <row r="90" spans="1:18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17.206157752737663</v>
      </c>
      <c r="I90" s="21">
        <f>F90*$V$22</f>
        <v>1.066497381368037</v>
      </c>
      <c r="J90" s="21">
        <f t="shared" si="20"/>
        <v>109843.76697032218</v>
      </c>
      <c r="K90" s="21">
        <f t="shared" si="21"/>
        <v>6808.4979527059204</v>
      </c>
      <c r="L90" s="5" t="s">
        <v>24</v>
      </c>
      <c r="M90" s="1">
        <v>-6383.98</v>
      </c>
      <c r="N90" s="4">
        <v>1.28</v>
      </c>
      <c r="O90" s="4"/>
      <c r="P90" s="15"/>
      <c r="Q90" s="15"/>
      <c r="R90" s="15"/>
    </row>
    <row r="91" spans="1:18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17.96</v>
      </c>
      <c r="I91" s="21">
        <f>F91*$V$24</f>
        <v>1.54</v>
      </c>
      <c r="J91" s="21">
        <f t="shared" si="20"/>
        <v>114944</v>
      </c>
      <c r="K91" s="21">
        <f t="shared" si="21"/>
        <v>9856</v>
      </c>
      <c r="L91" s="7" t="s">
        <v>10</v>
      </c>
      <c r="M91" s="4">
        <v>-6400</v>
      </c>
      <c r="N91" s="4">
        <v>7.67</v>
      </c>
      <c r="P91" s="15"/>
      <c r="Q91" s="15"/>
      <c r="R91" s="15"/>
    </row>
    <row r="92" spans="1:18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25.8</v>
      </c>
      <c r="I92" s="21">
        <f>F92*$V$20</f>
        <v>3.16</v>
      </c>
      <c r="J92" s="21">
        <f t="shared" ref="J92" si="23">H92*(-$M92)</f>
        <v>165120</v>
      </c>
      <c r="K92" s="21">
        <f t="shared" ref="K92" si="24">I92*(-$M92)</f>
        <v>20224</v>
      </c>
      <c r="L92" s="7" t="s">
        <v>10</v>
      </c>
      <c r="M92" s="4">
        <v>-6400</v>
      </c>
      <c r="N92" s="4">
        <v>7.67</v>
      </c>
      <c r="O92" s="4"/>
      <c r="P92" s="15"/>
      <c r="Q92" s="15"/>
      <c r="R92" s="15"/>
    </row>
    <row r="93" spans="1:18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5">H95*(-M95)</f>
        <v>0</v>
      </c>
      <c r="K95" s="21"/>
      <c r="L95" s="5"/>
      <c r="M95" s="1"/>
      <c r="N95" s="4"/>
      <c r="O95" s="4"/>
      <c r="Q95" s="15"/>
      <c r="R95" s="15"/>
    </row>
    <row r="96" spans="1:18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6">H97*(-M97)</f>
        <v>0</v>
      </c>
      <c r="K97" s="21"/>
      <c r="L97" s="5"/>
      <c r="M97" s="1"/>
      <c r="N97" s="4"/>
      <c r="O97" s="4"/>
      <c r="Q97" s="15"/>
      <c r="R97" s="15"/>
    </row>
    <row r="98" spans="1:18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7">H98*(-M98)</f>
        <v>0</v>
      </c>
      <c r="K98" s="21"/>
      <c r="L98" s="5"/>
      <c r="M98" s="1"/>
      <c r="N98" s="4"/>
      <c r="O98" s="4"/>
      <c r="Q98" s="15"/>
      <c r="R98" s="15"/>
    </row>
    <row r="99" spans="1:18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7"/>
        <v>0</v>
      </c>
      <c r="K100" s="21"/>
      <c r="L100" s="5"/>
      <c r="M100" s="1"/>
      <c r="N100" s="4"/>
      <c r="O100" s="4"/>
      <c r="Q100" s="15"/>
      <c r="R100" s="15"/>
    </row>
    <row r="101" spans="1:18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7"/>
        <v>0</v>
      </c>
      <c r="K101" s="21"/>
      <c r="L101" s="5"/>
      <c r="M101" s="1"/>
      <c r="N101" s="4"/>
      <c r="Q101" s="15"/>
      <c r="R101" s="15"/>
    </row>
    <row r="102" spans="1:18">
      <c r="A102" s="3">
        <v>43346</v>
      </c>
      <c r="D102" s="3"/>
      <c r="E102" s="3"/>
      <c r="F102" s="3"/>
      <c r="G102" s="3"/>
      <c r="H102" s="3"/>
      <c r="I102" s="3"/>
      <c r="J102" s="21">
        <f t="shared" si="27"/>
        <v>0</v>
      </c>
      <c r="K102" s="21"/>
      <c r="L102" s="8" t="s">
        <v>200</v>
      </c>
      <c r="M102" s="1">
        <f>SUM(S4:S6)</f>
        <v>493387.04</v>
      </c>
      <c r="N102" s="1"/>
      <c r="O102" s="4"/>
      <c r="Q102" s="15"/>
      <c r="R102" s="15"/>
    </row>
    <row r="103" spans="1:18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7"/>
        <v>0</v>
      </c>
      <c r="K103" s="21"/>
      <c r="M103" s="1"/>
      <c r="N103" s="4"/>
      <c r="O103" s="4"/>
      <c r="Q103" s="15"/>
      <c r="R103" s="15"/>
    </row>
    <row r="104" spans="1:18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7"/>
        <v>0</v>
      </c>
      <c r="K104" s="21"/>
      <c r="M104" s="1"/>
      <c r="N104" s="4"/>
      <c r="O104" s="4"/>
      <c r="P104" s="15"/>
      <c r="Q104" s="15"/>
      <c r="R104" s="15"/>
    </row>
    <row r="105" spans="1:18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7"/>
        <v>0</v>
      </c>
      <c r="K105" s="21"/>
      <c r="M105" s="1"/>
      <c r="N105" s="4"/>
      <c r="P105" s="15"/>
      <c r="Q105" s="15"/>
    </row>
    <row r="106" spans="1:18">
      <c r="A106" s="3"/>
      <c r="D106" s="3"/>
      <c r="E106" s="3"/>
      <c r="F106" s="3"/>
      <c r="G106" s="3"/>
      <c r="H106" s="3"/>
      <c r="I106" s="3"/>
      <c r="J106" s="21">
        <f t="shared" si="27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>
      <c r="J107" s="21">
        <f t="shared" si="27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>
      <c r="J108" s="21">
        <f t="shared" si="27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>
      <c r="P109" s="63"/>
      <c r="Q109" s="15"/>
    </row>
    <row r="110" spans="1:18">
      <c r="P110" s="63"/>
    </row>
    <row r="111" spans="1:18">
      <c r="P111" s="63"/>
    </row>
    <row r="112" spans="1:18">
      <c r="P112" s="63"/>
    </row>
    <row r="113" spans="14:16">
      <c r="P113" s="63"/>
    </row>
    <row r="114" spans="14:16">
      <c r="P114" s="63"/>
    </row>
    <row r="115" spans="14:16">
      <c r="P115" s="63"/>
    </row>
    <row r="116" spans="14:16">
      <c r="P116" s="63"/>
    </row>
    <row r="117" spans="14:16">
      <c r="P117" s="63"/>
    </row>
    <row r="118" spans="14:16">
      <c r="P118" s="63"/>
    </row>
    <row r="119" spans="14:16">
      <c r="P119" s="63"/>
    </row>
    <row r="120" spans="14:16">
      <c r="P120" s="63"/>
    </row>
    <row r="121" spans="14:16">
      <c r="P121" s="63"/>
    </row>
    <row r="122" spans="14:16">
      <c r="P122" s="63"/>
    </row>
    <row r="123" spans="14:16">
      <c r="P123" s="63"/>
    </row>
    <row r="124" spans="14:16">
      <c r="P124" s="63"/>
    </row>
    <row r="125" spans="14:16">
      <c r="P125" s="63"/>
    </row>
    <row r="126" spans="14:16">
      <c r="N126">
        <f>SUMIF(C:C,"=医药",J:J)/SUMIF(C:C,"=医药",M:M)*-1</f>
        <v>28.459130847395937</v>
      </c>
      <c r="P126" s="63"/>
    </row>
    <row r="127" spans="14:16">
      <c r="P127" s="63"/>
    </row>
    <row r="128" spans="14:16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68" sqref="I68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3.9621152328334648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10.399892133649038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10.714724303082402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37.526881720430104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10.640243902439025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23.48586810228802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23.103423888460863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11.387559808612441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8.2537033492822971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37.116961588260679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28.954941735002155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24.855633370192901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>
      <c r="D35" s="31">
        <f>E33*D33</f>
        <v>23.804240078633743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37.659886768714621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25.480679387712311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6.7813692318767549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6.8858023180476575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6.8320610687022896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10.287356321839081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11.256773958059139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33.472266752164153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29.408733568451424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已投部分年化收益率!V34</f>
        <v>1.2407819267236335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1.1330820554840222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B2" sqref="B2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5.8900000000000001E-2</v>
      </c>
      <c r="H28" s="1">
        <f>已投部分年化收益率!X13</f>
        <v>10.390458846278054</v>
      </c>
      <c r="I28" s="1">
        <f>ETF计划成本计算!D5</f>
        <v>10.399892133649038</v>
      </c>
      <c r="J28" s="18">
        <f>已投部分年化收益率!S13/H28-1</f>
        <v>-3.3728909518138561E-2</v>
      </c>
    </row>
    <row r="29" spans="1:28">
      <c r="F29" t="s">
        <v>84</v>
      </c>
      <c r="G29" s="19">
        <f>C5</f>
        <v>3.9856999999999997E-2</v>
      </c>
      <c r="H29" s="1">
        <f>已投部分年化收益率!X15</f>
        <v>11.631060512648</v>
      </c>
      <c r="I29" s="1">
        <f>ETF计划成本计算!D53</f>
        <v>11.256773958059139</v>
      </c>
      <c r="J29" s="18">
        <f>已投部分年化收益率!S15/H29-1</f>
        <v>-7.6610427026755801E-2</v>
      </c>
    </row>
    <row r="30" spans="1:28">
      <c r="F30" t="s">
        <v>78</v>
      </c>
      <c r="G30" s="19">
        <f>C6</f>
        <v>0.21911088749999999</v>
      </c>
      <c r="H30" s="55">
        <f>已投部分年化收益率!X16</f>
        <v>22.593146950757973</v>
      </c>
      <c r="I30" s="4">
        <f>ETF计划成本计算!D20</f>
        <v>23.103423888460863</v>
      </c>
      <c r="J30" s="18">
        <f>已投部分年化收益率!S16/H30-1</f>
        <v>-0.22764190229752068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28.026644822712921</v>
      </c>
      <c r="I31" s="27" t="s">
        <v>115</v>
      </c>
      <c r="J31" s="18">
        <f>已投部分年化收益率!S17/H31-1</f>
        <v>-0.28853417431398942</v>
      </c>
    </row>
    <row r="32" spans="1:28">
      <c r="F32" t="s">
        <v>226</v>
      </c>
      <c r="G32" s="19">
        <f>C8</f>
        <v>1.6085612499999999E-2</v>
      </c>
      <c r="H32" s="1">
        <f>已投部分年化收益率!X18</f>
        <v>33.20881023470217</v>
      </c>
      <c r="I32" s="27"/>
      <c r="J32" s="18">
        <f>已投部分年化收益率!S18/H32-1</f>
        <v>-0.14871987884532123</v>
      </c>
    </row>
    <row r="33" spans="6:10">
      <c r="F33" t="s">
        <v>80</v>
      </c>
      <c r="G33" s="19">
        <f>C9</f>
        <v>6.1076224999999998E-2</v>
      </c>
      <c r="H33" s="1">
        <f>已投部分年化收益率!X19</f>
        <v>28.459130847395937</v>
      </c>
      <c r="I33" s="1">
        <f>ETF计划成本计算!D30</f>
        <v>28.954941735002155</v>
      </c>
      <c r="J33" s="18">
        <f>已投部分年化收益率!S19/H33-1</f>
        <v>-9.3436825659039768E-2</v>
      </c>
    </row>
    <row r="34" spans="6:10">
      <c r="F34" t="s">
        <v>81</v>
      </c>
      <c r="G34" s="19">
        <f>C12</f>
        <v>5.6750000000000002E-2</v>
      </c>
      <c r="H34" s="1">
        <f>已投部分年化收益率!X21</f>
        <v>24.058844981443023</v>
      </c>
      <c r="I34" s="1">
        <f>ETF计划成本计算!D35</f>
        <v>23.804240078633743</v>
      </c>
      <c r="J34" s="18">
        <f>已投部分年化收益率!S21/H34-1</f>
        <v>-0.15914500402643073</v>
      </c>
    </row>
    <row r="35" spans="6:10">
      <c r="F35" t="s">
        <v>82</v>
      </c>
      <c r="G35" s="19">
        <f>C14</f>
        <v>6.0069037499999992E-2</v>
      </c>
      <c r="H35" s="56">
        <f>已投部分年化收益率!X23</f>
        <v>24.829376807487442</v>
      </c>
      <c r="I35" s="1">
        <f>ETF计划成本计算!D40</f>
        <v>25.480679387712311</v>
      </c>
      <c r="J35" s="18">
        <f>已投部分年化收益率!S24/H35-1</f>
        <v>-0.27666327917726641</v>
      </c>
    </row>
    <row r="36" spans="6:10">
      <c r="F36" t="s">
        <v>83</v>
      </c>
      <c r="G36" s="19">
        <f>C13</f>
        <v>3.70254125E-2</v>
      </c>
      <c r="H36" s="1">
        <f>已投部分年化收益率!X25</f>
        <v>29.530659488658774</v>
      </c>
      <c r="I36" s="1">
        <f>ETF计划成本计算!D58</f>
        <v>29.408733568451424</v>
      </c>
      <c r="J36" s="18">
        <f>已投部分年化收益率!S25/H36-1</f>
        <v>-0.29293824243854272</v>
      </c>
    </row>
    <row r="37" spans="6:10">
      <c r="F37" t="s">
        <v>223</v>
      </c>
      <c r="G37" s="19">
        <f>C11</f>
        <v>2.4E-2</v>
      </c>
      <c r="H37" s="1">
        <f>已投部分年化收益率!Y34</f>
        <v>1.1267127082601742</v>
      </c>
      <c r="I37" s="1">
        <f>ETF计划成本计算!D63</f>
        <v>1.1330820554840222</v>
      </c>
      <c r="J37" s="18">
        <f>已投部分年化收益率!U34/H37-1</f>
        <v>-5.9210043315468863E-2</v>
      </c>
    </row>
    <row r="38" spans="6:10">
      <c r="F38" t="s">
        <v>238</v>
      </c>
      <c r="G38" s="19">
        <f>C10</f>
        <v>3.1965149999999998E-2</v>
      </c>
      <c r="H38" s="1">
        <f>已投部分年化收益率!Y22</f>
        <v>1.3279235342961813</v>
      </c>
      <c r="J38" s="18">
        <f>已投部分年化收益率!U22/资产配置表!H38-1</f>
        <v>-0.20929182073987773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1"/>
  <sheetViews>
    <sheetView tabSelected="1" topLeftCell="A18" zoomScaleNormal="100" workbookViewId="0">
      <selection activeCell="I40" sqref="I40"/>
    </sheetView>
  </sheetViews>
  <sheetFormatPr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" bestFit="1" customWidth="1"/>
    <col min="16" max="16" width="11.125" bestFit="1" customWidth="1"/>
  </cols>
  <sheetData>
    <row r="2" spans="1:28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28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28">
      <c r="A4" s="90" t="str">
        <f>组合权益类行业占比!J3</f>
        <v>上证50</v>
      </c>
      <c r="B4" s="18">
        <f>组合权益类行业占比!K3</f>
        <v>3.7000000000000005E-2</v>
      </c>
      <c r="C4" s="18">
        <f>组合权益类行业占比!L3</f>
        <v>5.5800000000000002E-2</v>
      </c>
      <c r="D4" s="18">
        <f>组合权益类行业占比!M3</f>
        <v>8.5600000000000009E-2</v>
      </c>
      <c r="E4" s="18">
        <f>组合权益类行业占比!N3</f>
        <v>3.7499999999999999E-2</v>
      </c>
      <c r="F4" s="18">
        <f>组合权益类行业占比!O3</f>
        <v>0.11070000000000001</v>
      </c>
      <c r="G4" s="18">
        <f>组合权益类行业占比!P3</f>
        <v>2.9700000000000001E-2</v>
      </c>
      <c r="H4" s="18">
        <f>组合权益类行业占比!Q3</f>
        <v>0.622</v>
      </c>
      <c r="I4" s="18">
        <f>组合权益类行业占比!R3</f>
        <v>1.0800000000000001E-2</v>
      </c>
      <c r="J4" s="18">
        <f>组合权益类行业占比!S3</f>
        <v>1.1000000000000001E-2</v>
      </c>
      <c r="K4" s="18">
        <f>组合权益类行业占比!T3</f>
        <v>0</v>
      </c>
    </row>
    <row r="5" spans="1:28">
      <c r="A5" s="90" t="str">
        <f>组合权益类行业占比!J4</f>
        <v>沪深300</v>
      </c>
      <c r="B5" s="18">
        <f>组合权益类行业占比!K4</f>
        <v>2.81E-2</v>
      </c>
      <c r="C5" s="18">
        <f>组合权益类行业占比!L4</f>
        <v>7.3899999999999993E-2</v>
      </c>
      <c r="D5" s="18">
        <f>组合权益类行业占比!M4</f>
        <v>0.124</v>
      </c>
      <c r="E5" s="18">
        <f>组合权益类行业占比!N4</f>
        <v>0.1125</v>
      </c>
      <c r="F5" s="18">
        <f>组合权益类行业占比!O4</f>
        <v>9.0800000000000006E-2</v>
      </c>
      <c r="G5" s="18">
        <f>组合权益类行业占比!P4</f>
        <v>6.4000000000000001E-2</v>
      </c>
      <c r="H5" s="18">
        <f>组合权益类行业占比!Q4</f>
        <v>0.39069999999999999</v>
      </c>
      <c r="I5" s="18">
        <f>组合权益类行业占比!R4</f>
        <v>6.8600000000000008E-2</v>
      </c>
      <c r="J5" s="18">
        <f>组合权益类行业占比!S4</f>
        <v>1.9199999999999998E-2</v>
      </c>
      <c r="K5" s="18">
        <f>组合权益类行业占比!T4</f>
        <v>2.8300000000000002E-2</v>
      </c>
    </row>
    <row r="6" spans="1:28">
      <c r="A6" s="90" t="str">
        <f>组合权益类行业占比!J5</f>
        <v>中证500</v>
      </c>
      <c r="B6" s="18">
        <f>组合权益类行业占比!K5</f>
        <v>2.4900000000000002E-2</v>
      </c>
      <c r="C6" s="18">
        <f>组合权益类行业占比!L5</f>
        <v>0.16089999999999999</v>
      </c>
      <c r="D6" s="18">
        <f>组合权益类行业占比!M5</f>
        <v>0.21660000000000001</v>
      </c>
      <c r="E6" s="18">
        <f>组合权益类行业占比!N5</f>
        <v>0.1174</v>
      </c>
      <c r="F6" s="18">
        <f>组合权益类行业占比!O5</f>
        <v>6.8600000000000008E-2</v>
      </c>
      <c r="G6" s="18">
        <f>组合权益类行业占比!P5</f>
        <v>0.11609999999999999</v>
      </c>
      <c r="H6" s="18">
        <f>组合权益类行业占比!Q5</f>
        <v>8.2500000000000004E-2</v>
      </c>
      <c r="I6" s="18">
        <f>组合权益类行业占比!R5</f>
        <v>0.1671</v>
      </c>
      <c r="J6" s="18">
        <f>组合权益类行业占比!S5</f>
        <v>1.47E-2</v>
      </c>
      <c r="K6" s="18">
        <f>组合权益类行业占比!T5</f>
        <v>3.1300000000000001E-2</v>
      </c>
    </row>
    <row r="7" spans="1:28">
      <c r="A7" s="90" t="str">
        <f>组合权益类行业占比!J6</f>
        <v>中证1000</v>
      </c>
      <c r="B7" s="18">
        <f>组合权益类行业占比!K6</f>
        <v>3.1400000000000004E-2</v>
      </c>
      <c r="C7" s="18">
        <f>组合权益类行业占比!L6</f>
        <v>0.16789999999999999</v>
      </c>
      <c r="D7" s="18">
        <f>组合权益类行业占比!M6</f>
        <v>0.23600000000000002</v>
      </c>
      <c r="E7" s="18">
        <f>组合权益类行业占比!N6</f>
        <v>0.1278</v>
      </c>
      <c r="F7" s="18">
        <f>组合权益类行业占比!O6</f>
        <v>5.2499999999999998E-2</v>
      </c>
      <c r="G7" s="18">
        <f>组合权益类行业占比!P6</f>
        <v>0.1057</v>
      </c>
      <c r="H7" s="18">
        <f>组合权益类行业占比!Q6</f>
        <v>4.1700000000000001E-2</v>
      </c>
      <c r="I7" s="18">
        <f>组合权益类行业占比!R6</f>
        <v>0.17879999999999999</v>
      </c>
      <c r="J7" s="18">
        <f>组合权益类行业占比!S6</f>
        <v>3.56E-2</v>
      </c>
      <c r="K7" s="18">
        <f>组合权益类行业占比!T6</f>
        <v>2.2700000000000001E-2</v>
      </c>
    </row>
    <row r="8" spans="1:28">
      <c r="A8" s="90" t="str">
        <f>组合权益类行业占比!J7</f>
        <v>金融地产</v>
      </c>
      <c r="B8" s="18">
        <f>组合权益类行业占比!K7</f>
        <v>0</v>
      </c>
      <c r="C8" s="18">
        <f>组合权益类行业占比!L7</f>
        <v>0</v>
      </c>
      <c r="D8" s="18">
        <f>组合权益类行业占比!M7</f>
        <v>0</v>
      </c>
      <c r="E8" s="18">
        <f>组合权益类行业占比!N7</f>
        <v>0</v>
      </c>
      <c r="F8" s="18">
        <f>组合权益类行业占比!O7</f>
        <v>0</v>
      </c>
      <c r="G8" s="18">
        <f>组合权益类行业占比!P7</f>
        <v>0</v>
      </c>
      <c r="H8" s="18">
        <f>组合权益类行业占比!Q7</f>
        <v>1</v>
      </c>
      <c r="I8" s="18">
        <f>组合权益类行业占比!R7</f>
        <v>0</v>
      </c>
      <c r="J8" s="18">
        <f>组合权益类行业占比!S7</f>
        <v>0</v>
      </c>
      <c r="K8" s="18">
        <f>组合权益类行业占比!T7</f>
        <v>0</v>
      </c>
    </row>
    <row r="9" spans="1:28">
      <c r="A9" s="90" t="str">
        <f>组合权益类行业占比!J8</f>
        <v>证券公司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28">
      <c r="A10" s="90" t="str">
        <f>组合权益类行业占比!J9</f>
        <v>中证传媒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0.52739999999999998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0</v>
      </c>
      <c r="I10" s="18">
        <f>组合权益类行业占比!R9</f>
        <v>0.47259999999999996</v>
      </c>
      <c r="J10" s="18">
        <f>组合权益类行业占比!S9</f>
        <v>0</v>
      </c>
      <c r="K10" s="18">
        <f>组合权益类行业占比!T9</f>
        <v>0</v>
      </c>
    </row>
    <row r="11" spans="1:28">
      <c r="A11" s="90" t="str">
        <f>组合权益类行业占比!J10</f>
        <v>全指医药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</v>
      </c>
      <c r="F11" s="18">
        <f>组合权益类行业占比!O10</f>
        <v>0</v>
      </c>
      <c r="G11" s="18">
        <f>组合权益类行业占比!P10</f>
        <v>1</v>
      </c>
      <c r="H11" s="18">
        <f>组合权益类行业占比!Q10</f>
        <v>0</v>
      </c>
      <c r="I11" s="18">
        <f>组合权益类行业占比!R10</f>
        <v>0</v>
      </c>
      <c r="J11" s="18">
        <f>组合权益类行业占比!S10</f>
        <v>0</v>
      </c>
      <c r="K11" s="18">
        <f>组合权益类行业占比!T10</f>
        <v>0</v>
      </c>
    </row>
    <row r="12" spans="1:28">
      <c r="A12" s="90" t="str">
        <f>组合权益类行业占比!J11</f>
        <v>养老产业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0.33740000000000003</v>
      </c>
      <c r="F12" s="18">
        <f>组合权益类行业占比!O11</f>
        <v>8.4199999999999997E-2</v>
      </c>
      <c r="G12" s="18">
        <f>组合权益类行业占比!P11</f>
        <v>0.38850000000000001</v>
      </c>
      <c r="H12" s="18">
        <f>组合权益类行业占比!Q11</f>
        <v>8.7400000000000005E-2</v>
      </c>
      <c r="I12" s="18">
        <f>组合权益类行业占比!R11</f>
        <v>0.10249999999999999</v>
      </c>
      <c r="J12" s="18">
        <f>组合权益类行业占比!S11</f>
        <v>0</v>
      </c>
      <c r="K12" s="18">
        <f>组合权益类行业占比!T11</f>
        <v>0</v>
      </c>
    </row>
    <row r="13" spans="1:28">
      <c r="A13" s="90" t="str">
        <f>组合权益类行业占比!J12</f>
        <v>中证环保</v>
      </c>
      <c r="B13" s="18">
        <f>组合权益类行业占比!K12</f>
        <v>0</v>
      </c>
      <c r="C13" s="18">
        <f>组合权益类行业占比!L12</f>
        <v>5.8099999999999999E-2</v>
      </c>
      <c r="D13" s="18">
        <f>组合权益类行业占比!M12</f>
        <v>0.67700000000000005</v>
      </c>
      <c r="E13" s="18">
        <f>组合权益类行业占比!N12</f>
        <v>5.3099999999999994E-2</v>
      </c>
      <c r="F13" s="18">
        <f>组合权益类行业占比!O12</f>
        <v>0</v>
      </c>
      <c r="G13" s="18">
        <f>组合权益类行业占比!P12</f>
        <v>0</v>
      </c>
      <c r="H13" s="18">
        <f>组合权益类行业占比!Q12</f>
        <v>0</v>
      </c>
      <c r="I13" s="18">
        <f>组合权益类行业占比!R12</f>
        <v>8.1600000000000006E-2</v>
      </c>
      <c r="J13" s="18">
        <f>组合权益类行业占比!S12</f>
        <v>0</v>
      </c>
      <c r="K13" s="18">
        <f>组合权益类行业占比!T12</f>
        <v>0.13019999999999998</v>
      </c>
    </row>
    <row r="14" spans="1:28">
      <c r="A14" s="90" t="str">
        <f>组合权益类行业占比!J13</f>
        <v>创业板指</v>
      </c>
      <c r="B14" s="18">
        <f>组合权益类行业占比!K13</f>
        <v>0</v>
      </c>
      <c r="C14" s="18">
        <f>组合权益类行业占比!L13</f>
        <v>3.5900000000000001E-2</v>
      </c>
      <c r="D14" s="18">
        <f>组合权益类行业占比!M13</f>
        <v>0.18870000000000001</v>
      </c>
      <c r="E14" s="18">
        <f>组合权益类行业占比!N13</f>
        <v>6.0299999999999999E-2</v>
      </c>
      <c r="F14" s="18">
        <f>组合权益类行业占比!O13</f>
        <v>9.7900000000000001E-2</v>
      </c>
      <c r="G14" s="18">
        <f>组合权益类行业占比!P13</f>
        <v>0.18540000000000001</v>
      </c>
      <c r="H14" s="18">
        <f>组合权益类行业占比!Q13</f>
        <v>5.1900000000000002E-2</v>
      </c>
      <c r="I14" s="18">
        <f>组合权益类行业占比!R13</f>
        <v>0.37990000000000002</v>
      </c>
      <c r="J14" s="18">
        <f>组合权益类行业占比!S13</f>
        <v>0</v>
      </c>
      <c r="K14" s="18">
        <f>组合权益类行业占比!T13</f>
        <v>0</v>
      </c>
    </row>
    <row r="15" spans="1:28"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28" s="90" customFormat="1">
      <c r="A16" s="90" t="s">
        <v>7442</v>
      </c>
      <c r="B16" s="90" t="s">
        <v>7443</v>
      </c>
      <c r="C16" s="90" t="s">
        <v>7443</v>
      </c>
      <c r="D16" s="90" t="s">
        <v>7443</v>
      </c>
      <c r="E16" s="90" t="s">
        <v>7444</v>
      </c>
      <c r="F16" s="90" t="s">
        <v>7444</v>
      </c>
      <c r="G16" s="90" t="s">
        <v>7444</v>
      </c>
      <c r="H16" s="90" t="s">
        <v>250</v>
      </c>
      <c r="I16" s="90" t="s">
        <v>250</v>
      </c>
      <c r="J16" s="90" t="s">
        <v>250</v>
      </c>
      <c r="K16" s="90" t="s">
        <v>251</v>
      </c>
      <c r="L16" s="90" t="s">
        <v>251</v>
      </c>
      <c r="M16" s="90" t="s">
        <v>251</v>
      </c>
      <c r="N16" s="90" t="s">
        <v>3851</v>
      </c>
      <c r="O16" s="90" t="s">
        <v>3851</v>
      </c>
      <c r="P16" s="90" t="s">
        <v>3851</v>
      </c>
      <c r="Q16" s="90" t="s">
        <v>253</v>
      </c>
      <c r="R16" s="90" t="s">
        <v>253</v>
      </c>
      <c r="S16" s="90" t="s">
        <v>253</v>
      </c>
      <c r="T16" s="90" t="s">
        <v>7445</v>
      </c>
      <c r="U16" s="90" t="s">
        <v>7445</v>
      </c>
      <c r="V16" s="90" t="s">
        <v>7445</v>
      </c>
      <c r="W16" s="90" t="s">
        <v>254</v>
      </c>
      <c r="X16" s="90" t="s">
        <v>254</v>
      </c>
      <c r="Y16" s="90" t="s">
        <v>254</v>
      </c>
      <c r="Z16" s="90" t="s">
        <v>255</v>
      </c>
      <c r="AA16" s="90" t="s">
        <v>255</v>
      </c>
      <c r="AB16" s="90" t="s">
        <v>255</v>
      </c>
    </row>
    <row r="17" spans="1:28">
      <c r="A17" s="3">
        <v>38544</v>
      </c>
      <c r="B17" s="90">
        <v>35</v>
      </c>
      <c r="C17" s="90">
        <v>11.93</v>
      </c>
      <c r="D17" s="90">
        <v>1.4</v>
      </c>
      <c r="E17" s="90">
        <v>271</v>
      </c>
      <c r="F17" s="90">
        <v>14.65</v>
      </c>
      <c r="G17" s="90">
        <v>1.2</v>
      </c>
      <c r="H17" s="90">
        <v>308</v>
      </c>
      <c r="I17" s="90">
        <v>21.23</v>
      </c>
      <c r="J17" s="90">
        <v>1.42</v>
      </c>
      <c r="K17" s="90">
        <v>262</v>
      </c>
      <c r="L17" s="90">
        <v>22.67</v>
      </c>
      <c r="M17" s="90">
        <v>1.34</v>
      </c>
      <c r="N17" s="90">
        <v>118</v>
      </c>
      <c r="O17" s="90">
        <v>26.35</v>
      </c>
      <c r="P17" s="90">
        <v>1.36</v>
      </c>
      <c r="Q17" s="90">
        <v>107</v>
      </c>
      <c r="R17" s="90">
        <v>24.93</v>
      </c>
      <c r="S17" s="90">
        <v>1.49</v>
      </c>
      <c r="T17" s="90">
        <v>100</v>
      </c>
      <c r="U17" s="90">
        <v>18.829999999999998</v>
      </c>
      <c r="V17" s="90">
        <v>1.38</v>
      </c>
      <c r="W17" s="90">
        <v>122</v>
      </c>
      <c r="X17" s="90">
        <v>25.95</v>
      </c>
      <c r="Y17" s="90">
        <v>1.47</v>
      </c>
      <c r="Z17" s="90">
        <v>63</v>
      </c>
      <c r="AA17" s="90">
        <v>19.89</v>
      </c>
      <c r="AB17" s="90">
        <v>1.33</v>
      </c>
    </row>
    <row r="18" spans="1:28">
      <c r="A18" s="3">
        <v>39748</v>
      </c>
      <c r="B18" s="90">
        <v>42</v>
      </c>
      <c r="C18" s="90">
        <v>10.64</v>
      </c>
      <c r="D18" s="90">
        <v>1.92</v>
      </c>
      <c r="E18" s="90">
        <v>320</v>
      </c>
      <c r="F18" s="90">
        <v>9.81</v>
      </c>
      <c r="G18" s="90">
        <v>1.34</v>
      </c>
      <c r="H18" s="90">
        <v>388</v>
      </c>
      <c r="I18" s="90">
        <v>15.36</v>
      </c>
      <c r="J18" s="90">
        <v>1.65</v>
      </c>
      <c r="K18" s="90">
        <v>278</v>
      </c>
      <c r="L18" s="90">
        <v>12.86</v>
      </c>
      <c r="M18" s="90">
        <v>1.54</v>
      </c>
      <c r="N18" s="90">
        <v>117</v>
      </c>
      <c r="O18" s="90">
        <v>23.61</v>
      </c>
      <c r="P18" s="90">
        <v>1.95</v>
      </c>
      <c r="Q18" s="90">
        <v>118</v>
      </c>
      <c r="R18" s="90">
        <v>19.39</v>
      </c>
      <c r="S18" s="90">
        <v>2.09</v>
      </c>
      <c r="T18" s="90">
        <v>142</v>
      </c>
      <c r="U18" s="90">
        <v>13.4</v>
      </c>
      <c r="V18" s="90">
        <v>1.68</v>
      </c>
      <c r="W18" s="90">
        <v>155</v>
      </c>
      <c r="X18" s="90">
        <v>12.48</v>
      </c>
      <c r="Y18" s="90">
        <v>1.56</v>
      </c>
      <c r="Z18" s="90">
        <v>67</v>
      </c>
      <c r="AA18" s="90">
        <v>20.48</v>
      </c>
      <c r="AB18" s="90">
        <v>1.36</v>
      </c>
    </row>
    <row r="19" spans="1:28">
      <c r="A19" s="3">
        <v>41240</v>
      </c>
      <c r="B19" s="90">
        <v>65</v>
      </c>
      <c r="C19" s="90">
        <v>20.45</v>
      </c>
      <c r="D19" s="90">
        <v>2</v>
      </c>
      <c r="E19" s="90">
        <v>454</v>
      </c>
      <c r="F19" s="90">
        <v>23.49</v>
      </c>
      <c r="G19" s="90">
        <v>1.76</v>
      </c>
      <c r="H19" s="90">
        <v>637</v>
      </c>
      <c r="I19" s="90">
        <v>22.35</v>
      </c>
      <c r="J19" s="90">
        <v>1.78</v>
      </c>
      <c r="K19" s="90">
        <v>407</v>
      </c>
      <c r="L19" s="90">
        <v>21.28</v>
      </c>
      <c r="M19" s="90">
        <v>1.87</v>
      </c>
      <c r="N19" s="90">
        <v>166</v>
      </c>
      <c r="O19" s="90">
        <v>26.39</v>
      </c>
      <c r="P19" s="90">
        <v>2.4700000000000002</v>
      </c>
      <c r="Q19" s="90">
        <v>181</v>
      </c>
      <c r="R19" s="90">
        <v>30.04</v>
      </c>
      <c r="S19" s="90">
        <v>2.78</v>
      </c>
      <c r="T19" s="90">
        <v>198</v>
      </c>
      <c r="U19" s="90">
        <v>15.54</v>
      </c>
      <c r="V19" s="90">
        <v>1.86</v>
      </c>
      <c r="W19" s="90">
        <v>334</v>
      </c>
      <c r="X19" s="90">
        <v>28.21</v>
      </c>
      <c r="Y19" s="90">
        <v>2.12</v>
      </c>
      <c r="Z19" s="90">
        <v>74</v>
      </c>
      <c r="AA19" s="90">
        <v>21.37</v>
      </c>
      <c r="AB19" s="90">
        <v>1.76</v>
      </c>
    </row>
    <row r="20" spans="1:28" s="90" customFormat="1">
      <c r="A20" s="14">
        <v>43390</v>
      </c>
      <c r="B20" s="96">
        <v>75</v>
      </c>
      <c r="C20" s="96">
        <v>16.100000000000001</v>
      </c>
      <c r="D20" s="96">
        <v>1.32</v>
      </c>
      <c r="E20" s="96">
        <v>565</v>
      </c>
      <c r="F20" s="96">
        <v>18.350000000000001</v>
      </c>
      <c r="G20" s="96">
        <v>1.73</v>
      </c>
      <c r="H20" s="96">
        <v>961</v>
      </c>
      <c r="I20" s="96">
        <v>21.84</v>
      </c>
      <c r="J20" s="96">
        <v>1.7</v>
      </c>
      <c r="K20" s="96">
        <v>595</v>
      </c>
      <c r="L20" s="96">
        <v>18.420000000000002</v>
      </c>
      <c r="M20" s="96">
        <v>1.57</v>
      </c>
      <c r="N20" s="96">
        <v>222</v>
      </c>
      <c r="O20" s="96">
        <v>25.45</v>
      </c>
      <c r="P20" s="96">
        <v>1.99</v>
      </c>
      <c r="Q20" s="96">
        <v>291</v>
      </c>
      <c r="R20" s="96">
        <v>23.27</v>
      </c>
      <c r="S20" s="96">
        <v>2.2200000000000002</v>
      </c>
      <c r="T20" s="96">
        <v>233</v>
      </c>
      <c r="U20" s="96">
        <v>10.92</v>
      </c>
      <c r="V20" s="96">
        <v>1.1200000000000001</v>
      </c>
      <c r="W20" s="96">
        <v>589</v>
      </c>
      <c r="X20" s="96">
        <v>29.44</v>
      </c>
      <c r="Y20" s="96">
        <v>2.21</v>
      </c>
      <c r="Z20" s="96">
        <v>109</v>
      </c>
      <c r="AA20" s="96">
        <v>20.059999999999999</v>
      </c>
      <c r="AB20" s="96">
        <v>1.22</v>
      </c>
    </row>
    <row r="21" spans="1:28">
      <c r="A21" s="90" t="s">
        <v>7446</v>
      </c>
      <c r="B21" s="90"/>
      <c r="C21" s="60">
        <f>IF(C18/C20-1&gt;0,0,C18/C20-1)</f>
        <v>-0.33913043478260874</v>
      </c>
      <c r="D21" s="60">
        <f>IF(D18/D20-1&gt;0,0,D18/D20-1)</f>
        <v>0</v>
      </c>
      <c r="E21" s="90"/>
      <c r="F21" s="60">
        <f>IF(F18/F20-1&gt;0,0,F18/F20-1)</f>
        <v>-0.4653950953678474</v>
      </c>
      <c r="G21" s="60">
        <f>IF(G18/G20-1&gt;0,0,G18/G20-1)</f>
        <v>-0.22543352601156064</v>
      </c>
      <c r="H21" s="90"/>
      <c r="I21" s="60">
        <f t="shared" ref="I21:J21" si="0">IF(I18/I20-1&gt;0,0,I18/I20-1)</f>
        <v>-0.29670329670329676</v>
      </c>
      <c r="J21" s="60">
        <f t="shared" si="0"/>
        <v>-2.9411764705882359E-2</v>
      </c>
      <c r="K21" s="90"/>
      <c r="L21" s="60">
        <f t="shared" ref="L21:M21" si="1">IF(L18/L20-1&gt;0,0,L18/L20-1)</f>
        <v>-0.30184581976112934</v>
      </c>
      <c r="M21" s="60">
        <f t="shared" si="1"/>
        <v>-1.9108280254777066E-2</v>
      </c>
      <c r="N21" s="90"/>
      <c r="O21" s="60">
        <f t="shared" ref="O21:P21" si="2">IF(O18/O20-1&gt;0,0,O18/O20-1)</f>
        <v>-7.2298624754420393E-2</v>
      </c>
      <c r="P21" s="60">
        <f t="shared" si="2"/>
        <v>-2.010050251256279E-2</v>
      </c>
      <c r="Q21" s="90"/>
      <c r="R21" s="60">
        <f t="shared" ref="R21:S21" si="3">IF(R18/R20-1&gt;0,0,R18/R20-1)</f>
        <v>-0.16673828964331749</v>
      </c>
      <c r="S21" s="60">
        <f t="shared" si="3"/>
        <v>-5.8558558558558738E-2</v>
      </c>
      <c r="T21" s="90"/>
      <c r="U21" s="60">
        <f t="shared" ref="U21:V21" si="4">IF(U18/U20-1&gt;0,0,U18/U20-1)</f>
        <v>0</v>
      </c>
      <c r="V21" s="60">
        <f t="shared" si="4"/>
        <v>0</v>
      </c>
      <c r="W21" s="90"/>
      <c r="X21" s="60">
        <f t="shared" ref="X21:Y21" si="5">IF(X18/X20-1&gt;0,0,X18/X20-1)</f>
        <v>-0.57608695652173914</v>
      </c>
      <c r="Y21" s="60">
        <f t="shared" si="5"/>
        <v>-0.29411764705882348</v>
      </c>
      <c r="Z21" s="90"/>
      <c r="AA21" s="60">
        <f t="shared" ref="AA21:AB21" si="6">IF(AA18/AA20-1&gt;0,0,AA18/AA20-1)</f>
        <v>0</v>
      </c>
      <c r="AB21" s="60">
        <f t="shared" si="6"/>
        <v>0</v>
      </c>
    </row>
    <row r="24" spans="1:28">
      <c r="A24" s="90" t="s">
        <v>7448</v>
      </c>
      <c r="B24" s="90" t="str">
        <f>组合权益类行业占比!K1</f>
        <v>能源</v>
      </c>
      <c r="C24" s="90" t="str">
        <f>组合权益类行业占比!L1</f>
        <v>原材料</v>
      </c>
      <c r="D24" s="90" t="str">
        <f>组合权益类行业占比!M1</f>
        <v>工业</v>
      </c>
      <c r="E24" s="90" t="str">
        <f>组合权益类行业占比!N1</f>
        <v>可选消费</v>
      </c>
      <c r="F24" s="90" t="str">
        <f>组合权益类行业占比!O1</f>
        <v>主要消费</v>
      </c>
      <c r="G24" s="90" t="str">
        <f>组合权益类行业占比!P1</f>
        <v>医药卫生</v>
      </c>
      <c r="H24" s="90" t="str">
        <f>组合权益类行业占比!Q1</f>
        <v>金融地产</v>
      </c>
      <c r="I24" s="90" t="str">
        <f>组合权益类行业占比!R1</f>
        <v>信息技术</v>
      </c>
      <c r="J24" s="90" t="str">
        <f>组合权益类行业占比!S1</f>
        <v>电信业务</v>
      </c>
      <c r="K24" s="90" t="str">
        <f>组合权益类行业占比!T1</f>
        <v>公用事业</v>
      </c>
      <c r="L24" t="s">
        <v>7447</v>
      </c>
      <c r="M24" s="90" t="s">
        <v>7449</v>
      </c>
      <c r="N24" s="90" t="s">
        <v>7450</v>
      </c>
      <c r="O24" s="90" t="s">
        <v>7451</v>
      </c>
      <c r="P24" s="90" t="s">
        <v>7452</v>
      </c>
    </row>
    <row r="25" spans="1:28">
      <c r="A25" s="90" t="str">
        <f>组合权益类行业占比!J2</f>
        <v>中证红利</v>
      </c>
      <c r="B25" s="58">
        <f>(1+$D$21)*B3</f>
        <v>4.9800000000000004E-2</v>
      </c>
      <c r="C25" s="58">
        <f>(1+$G$21)*C3</f>
        <v>3.6327167630057812E-2</v>
      </c>
      <c r="D25" s="58">
        <f>(1+$J$21)*D3</f>
        <v>0.17596764705882351</v>
      </c>
      <c r="E25" s="58">
        <f>(1+$M$21)*E3</f>
        <v>0.18038598726114652</v>
      </c>
      <c r="F25" s="58">
        <f>(1+$P$21)*F3</f>
        <v>7.6824120603015078E-2</v>
      </c>
      <c r="G25" s="58">
        <f>(1+$S$21)*G3</f>
        <v>4.3306306306306296E-3</v>
      </c>
      <c r="H25" s="58">
        <f>(1+$V$21)*H3</f>
        <v>0.26960000000000001</v>
      </c>
      <c r="I25" s="58">
        <f>(1+$Y$21)*I3</f>
        <v>1.7999999999999999E-2</v>
      </c>
      <c r="J25" s="58">
        <f t="shared" ref="J25:K25" si="7">(1+$D$21)*J3</f>
        <v>0</v>
      </c>
      <c r="K25" s="58">
        <f>(1+$AB$21)*K3</f>
        <v>0.16010000000000002</v>
      </c>
      <c r="L25" s="60">
        <f>SUM(B25:K25)-1</f>
        <v>-2.8664446816326516E-2</v>
      </c>
      <c r="M25" s="61">
        <v>3728.17</v>
      </c>
      <c r="N25" s="61">
        <f>M25*(1+L25)</f>
        <v>3621.3040693127759</v>
      </c>
      <c r="O25" s="89">
        <f>资产配置表!C3</f>
        <v>5.8900000000000001E-2</v>
      </c>
      <c r="P25" s="60">
        <f>O25*(1+L25)</f>
        <v>5.7211664082518369E-2</v>
      </c>
    </row>
    <row r="26" spans="1:28">
      <c r="A26" s="90" t="str">
        <f>组合权益类行业占比!J3</f>
        <v>上证50</v>
      </c>
      <c r="B26" s="58">
        <f t="shared" ref="B26:J36" si="8">(1+$D$21)*B4</f>
        <v>3.7000000000000005E-2</v>
      </c>
      <c r="C26" s="58">
        <f t="shared" ref="C26:K36" si="9">(1+$G$21)*C4</f>
        <v>4.3220809248554919E-2</v>
      </c>
      <c r="D26" s="58">
        <f t="shared" ref="D26:D36" si="10">(1+$J$21)*D4</f>
        <v>8.3082352941176482E-2</v>
      </c>
      <c r="E26" s="58">
        <f t="shared" ref="E26:E36" si="11">(1+$M$21)*E4</f>
        <v>3.6783439490445859E-2</v>
      </c>
      <c r="F26" s="58">
        <f t="shared" ref="F26:F36" si="12">(1+$P$21)*F4</f>
        <v>0.10847487437185931</v>
      </c>
      <c r="G26" s="58">
        <f t="shared" ref="G26:G36" si="13">(1+$S$21)*G4</f>
        <v>2.7960810810810807E-2</v>
      </c>
      <c r="H26" s="58">
        <f t="shared" ref="H26:H36" si="14">(1+$V$21)*H4</f>
        <v>0.622</v>
      </c>
      <c r="I26" s="58">
        <f t="shared" ref="I26:I36" si="15">(1+$Y$21)*I4</f>
        <v>7.6235294117647069E-3</v>
      </c>
      <c r="J26" s="58">
        <f>(1)*J4</f>
        <v>1.1000000000000001E-2</v>
      </c>
      <c r="K26" s="58">
        <f t="shared" ref="K26:K36" si="16">(1+$AB$21)*K4</f>
        <v>0</v>
      </c>
      <c r="L26" s="60">
        <f t="shared" ref="L26:L36" si="17">SUM(B26:K26)-1</f>
        <v>-2.2854183725387944E-2</v>
      </c>
      <c r="M26" s="61">
        <v>2429.21</v>
      </c>
      <c r="N26" s="61">
        <f t="shared" ref="N26:N36" si="18">M26*(1+L26)</f>
        <v>2373.6923883524505</v>
      </c>
      <c r="O26" s="89">
        <f>资产配置表!C4</f>
        <v>8.0543625000000004E-3</v>
      </c>
      <c r="P26" s="60">
        <f t="shared" ref="P26:P36" si="19">O26*(1+L26)</f>
        <v>7.8702866196341259E-3</v>
      </c>
    </row>
    <row r="27" spans="1:28">
      <c r="A27" s="90" t="str">
        <f>组合权益类行业占比!J4</f>
        <v>沪深300</v>
      </c>
      <c r="B27" s="58">
        <f t="shared" si="8"/>
        <v>2.81E-2</v>
      </c>
      <c r="C27" s="58">
        <f t="shared" si="9"/>
        <v>5.7240462427745664E-2</v>
      </c>
      <c r="D27" s="58">
        <f t="shared" si="10"/>
        <v>0.12035294117647059</v>
      </c>
      <c r="E27" s="58">
        <f t="shared" si="11"/>
        <v>0.11035031847133758</v>
      </c>
      <c r="F27" s="58">
        <f t="shared" si="12"/>
        <v>8.8974874371859303E-2</v>
      </c>
      <c r="G27" s="58">
        <f t="shared" si="13"/>
        <v>6.0252252252252239E-2</v>
      </c>
      <c r="H27" s="58">
        <f t="shared" si="14"/>
        <v>0.39069999999999999</v>
      </c>
      <c r="I27" s="58">
        <f t="shared" si="15"/>
        <v>4.8423529411764712E-2</v>
      </c>
      <c r="J27" s="58">
        <f t="shared" ref="J27:J36" si="20">(1)*J5</f>
        <v>1.9199999999999998E-2</v>
      </c>
      <c r="K27" s="58">
        <f t="shared" si="16"/>
        <v>2.8300000000000002E-2</v>
      </c>
      <c r="L27" s="60">
        <f t="shared" si="17"/>
        <v>-4.8105621888569927E-2</v>
      </c>
      <c r="M27" s="61">
        <v>3118.25</v>
      </c>
      <c r="N27" s="61">
        <f t="shared" si="18"/>
        <v>2968.2446445459668</v>
      </c>
      <c r="O27" s="89">
        <f>资产配置表!C5</f>
        <v>3.9856999999999997E-2</v>
      </c>
      <c r="P27" s="60">
        <f t="shared" si="19"/>
        <v>3.7939654228387264E-2</v>
      </c>
    </row>
    <row r="28" spans="1:28">
      <c r="A28" s="90" t="str">
        <f>组合权益类行业占比!J5</f>
        <v>中证500</v>
      </c>
      <c r="B28" s="58">
        <f t="shared" si="8"/>
        <v>2.4900000000000002E-2</v>
      </c>
      <c r="C28" s="58">
        <f t="shared" si="9"/>
        <v>0.12462774566473989</v>
      </c>
      <c r="D28" s="58">
        <f t="shared" si="10"/>
        <v>0.21022941176470589</v>
      </c>
      <c r="E28" s="58">
        <f t="shared" si="11"/>
        <v>0.11515668789808918</v>
      </c>
      <c r="F28" s="58">
        <f t="shared" si="12"/>
        <v>6.72211055276382E-2</v>
      </c>
      <c r="G28" s="58">
        <f t="shared" si="13"/>
        <v>0.10930135135135133</v>
      </c>
      <c r="H28" s="58">
        <f t="shared" si="14"/>
        <v>8.2500000000000004E-2</v>
      </c>
      <c r="I28" s="58">
        <f t="shared" si="15"/>
        <v>0.11795294117647059</v>
      </c>
      <c r="J28" s="58">
        <f t="shared" si="20"/>
        <v>1.47E-2</v>
      </c>
      <c r="K28" s="58">
        <f t="shared" si="16"/>
        <v>3.1300000000000001E-2</v>
      </c>
      <c r="L28" s="60">
        <f t="shared" si="17"/>
        <v>-0.10211075661700486</v>
      </c>
      <c r="M28" s="61">
        <v>4133.38</v>
      </c>
      <c r="N28" s="61">
        <f t="shared" si="18"/>
        <v>3711.3174408144046</v>
      </c>
      <c r="O28" s="89">
        <f>资产配置表!C6</f>
        <v>0.21911088749999999</v>
      </c>
      <c r="P28" s="60">
        <f t="shared" si="19"/>
        <v>0.19673730899435155</v>
      </c>
    </row>
    <row r="29" spans="1:28">
      <c r="A29" s="90" t="str">
        <f>组合权益类行业占比!J6</f>
        <v>中证1000</v>
      </c>
      <c r="B29" s="58">
        <f t="shared" si="8"/>
        <v>3.1400000000000004E-2</v>
      </c>
      <c r="C29" s="58">
        <f t="shared" si="9"/>
        <v>0.13004971098265897</v>
      </c>
      <c r="D29" s="58">
        <f t="shared" si="10"/>
        <v>0.22905882352941179</v>
      </c>
      <c r="E29" s="58">
        <f t="shared" si="11"/>
        <v>0.1253579617834395</v>
      </c>
      <c r="F29" s="58">
        <f t="shared" si="12"/>
        <v>5.1444723618090452E-2</v>
      </c>
      <c r="G29" s="58">
        <f t="shared" si="13"/>
        <v>9.9510360360360345E-2</v>
      </c>
      <c r="H29" s="58">
        <f t="shared" si="14"/>
        <v>4.1700000000000001E-2</v>
      </c>
      <c r="I29" s="58">
        <f t="shared" si="15"/>
        <v>0.12621176470588236</v>
      </c>
      <c r="J29" s="58">
        <f t="shared" si="20"/>
        <v>3.56E-2</v>
      </c>
      <c r="K29" s="58">
        <f t="shared" si="16"/>
        <v>2.2700000000000001E-2</v>
      </c>
      <c r="L29" s="60">
        <f t="shared" si="17"/>
        <v>-0.10696665502015656</v>
      </c>
      <c r="M29" s="61">
        <v>4292.2</v>
      </c>
      <c r="N29" s="61">
        <f t="shared" si="18"/>
        <v>3833.077723322484</v>
      </c>
      <c r="O29" s="89">
        <f>资产配置表!C7</f>
        <v>4.9623162499999998E-2</v>
      </c>
      <c r="P29" s="60">
        <f t="shared" si="19"/>
        <v>4.4315138795853332E-2</v>
      </c>
    </row>
    <row r="30" spans="1:28">
      <c r="A30" s="90" t="str">
        <f>组合权益类行业占比!J7</f>
        <v>金融地产</v>
      </c>
      <c r="B30" s="58">
        <f t="shared" si="8"/>
        <v>0</v>
      </c>
      <c r="C30" s="58">
        <f t="shared" si="9"/>
        <v>0</v>
      </c>
      <c r="D30" s="58">
        <f t="shared" si="10"/>
        <v>0</v>
      </c>
      <c r="E30" s="58">
        <f t="shared" si="11"/>
        <v>0</v>
      </c>
      <c r="F30" s="58">
        <f t="shared" si="12"/>
        <v>0</v>
      </c>
      <c r="G30" s="58">
        <f t="shared" si="13"/>
        <v>0</v>
      </c>
      <c r="H30" s="58">
        <f t="shared" si="14"/>
        <v>1</v>
      </c>
      <c r="I30" s="58">
        <f t="shared" si="15"/>
        <v>0</v>
      </c>
      <c r="J30" s="58">
        <f t="shared" si="20"/>
        <v>0</v>
      </c>
      <c r="K30" s="58">
        <f t="shared" si="16"/>
        <v>0</v>
      </c>
      <c r="L30" s="60">
        <f t="shared" si="17"/>
        <v>0</v>
      </c>
      <c r="M30" s="61">
        <v>4788.3900000000003</v>
      </c>
      <c r="N30" s="61">
        <f t="shared" si="18"/>
        <v>4788.3900000000003</v>
      </c>
      <c r="O30" s="89">
        <f>资产配置表!C11</f>
        <v>2.4E-2</v>
      </c>
      <c r="P30" s="60">
        <f t="shared" si="19"/>
        <v>2.4E-2</v>
      </c>
    </row>
    <row r="31" spans="1:28">
      <c r="A31" s="90" t="str">
        <f>组合权益类行业占比!J8</f>
        <v>证券公司</v>
      </c>
      <c r="B31" s="58">
        <f t="shared" si="8"/>
        <v>0</v>
      </c>
      <c r="C31" s="58">
        <f t="shared" si="9"/>
        <v>0</v>
      </c>
      <c r="D31" s="58">
        <f t="shared" si="10"/>
        <v>0</v>
      </c>
      <c r="E31" s="58">
        <f t="shared" si="11"/>
        <v>0</v>
      </c>
      <c r="F31" s="58">
        <f t="shared" si="12"/>
        <v>0</v>
      </c>
      <c r="G31" s="58">
        <f t="shared" si="13"/>
        <v>0</v>
      </c>
      <c r="H31" s="58">
        <f t="shared" si="14"/>
        <v>1</v>
      </c>
      <c r="I31" s="58">
        <f t="shared" si="15"/>
        <v>0</v>
      </c>
      <c r="J31" s="58">
        <f t="shared" si="20"/>
        <v>0</v>
      </c>
      <c r="K31" s="58">
        <f t="shared" si="16"/>
        <v>0</v>
      </c>
      <c r="L31" s="60">
        <f t="shared" si="17"/>
        <v>0</v>
      </c>
      <c r="M31" s="61">
        <v>481.27</v>
      </c>
      <c r="N31" s="61">
        <f t="shared" si="18"/>
        <v>481.27</v>
      </c>
      <c r="O31" s="89">
        <f>资产配置表!C10</f>
        <v>3.1965149999999998E-2</v>
      </c>
      <c r="P31" s="60">
        <f t="shared" si="19"/>
        <v>3.1965149999999998E-2</v>
      </c>
    </row>
    <row r="32" spans="1:28">
      <c r="A32" s="90" t="str">
        <f>组合权益类行业占比!J9</f>
        <v>中证传媒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0.51732229299363053</v>
      </c>
      <c r="F32" s="58">
        <f t="shared" si="12"/>
        <v>0</v>
      </c>
      <c r="G32" s="58">
        <f t="shared" si="13"/>
        <v>0</v>
      </c>
      <c r="H32" s="58">
        <f t="shared" si="14"/>
        <v>0</v>
      </c>
      <c r="I32" s="58">
        <f t="shared" si="15"/>
        <v>0.33360000000000001</v>
      </c>
      <c r="J32" s="58">
        <f t="shared" si="20"/>
        <v>0</v>
      </c>
      <c r="K32" s="58">
        <f t="shared" si="16"/>
        <v>0</v>
      </c>
      <c r="L32" s="60">
        <f t="shared" si="17"/>
        <v>-0.14907770700636946</v>
      </c>
      <c r="M32" s="61">
        <v>1057.18</v>
      </c>
      <c r="N32" s="61">
        <f t="shared" si="18"/>
        <v>899.57802970700641</v>
      </c>
      <c r="O32" s="89">
        <f>资产配置表!C13</f>
        <v>3.70254125E-2</v>
      </c>
      <c r="P32" s="60">
        <f t="shared" si="19"/>
        <v>3.1505748903535032E-2</v>
      </c>
    </row>
    <row r="33" spans="1:16">
      <c r="A33" s="90" t="str">
        <f>组合权益类行业占比!J10</f>
        <v>全指医药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0.94144144144144126</v>
      </c>
      <c r="H33" s="58">
        <f t="shared" si="14"/>
        <v>0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-5.8558558558558738E-2</v>
      </c>
      <c r="M33" s="61">
        <v>7863.88</v>
      </c>
      <c r="N33" s="61">
        <f t="shared" si="18"/>
        <v>7403.382522522521</v>
      </c>
      <c r="O33" s="89">
        <f>资产配置表!C9</f>
        <v>6.1076224999999998E-2</v>
      </c>
      <c r="P33" s="60">
        <f t="shared" si="19"/>
        <v>5.7499689301801792E-2</v>
      </c>
    </row>
    <row r="34" spans="1:16">
      <c r="A34" s="90" t="str">
        <f>组合权益类行业占比!J11</f>
        <v>养老产业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0.33095286624203824</v>
      </c>
      <c r="F34" s="58">
        <f t="shared" si="12"/>
        <v>8.2507537688442212E-2</v>
      </c>
      <c r="G34" s="58">
        <f t="shared" si="13"/>
        <v>0.36574999999999996</v>
      </c>
      <c r="H34" s="58">
        <f t="shared" si="14"/>
        <v>8.7400000000000005E-2</v>
      </c>
      <c r="I34" s="58">
        <f t="shared" si="15"/>
        <v>7.2352941176470592E-2</v>
      </c>
      <c r="J34" s="58">
        <f t="shared" si="20"/>
        <v>0</v>
      </c>
      <c r="K34" s="58">
        <f t="shared" si="16"/>
        <v>0</v>
      </c>
      <c r="L34" s="60">
        <f t="shared" si="17"/>
        <v>-6.1036654893048992E-2</v>
      </c>
      <c r="M34" s="61">
        <v>6057.22</v>
      </c>
      <c r="N34" s="61">
        <f t="shared" si="18"/>
        <v>5687.5075532487263</v>
      </c>
      <c r="O34" s="89">
        <f>资产配置表!C12</f>
        <v>5.6750000000000002E-2</v>
      </c>
      <c r="P34" s="60">
        <f t="shared" si="19"/>
        <v>5.3286169834819472E-2</v>
      </c>
    </row>
    <row r="35" spans="1:16">
      <c r="A35" s="90" t="str">
        <f>组合权益类行业占比!J12</f>
        <v>中证环保</v>
      </c>
      <c r="B35" s="58">
        <f t="shared" si="8"/>
        <v>0</v>
      </c>
      <c r="C35" s="58">
        <f t="shared" si="9"/>
        <v>4.5002312138728323E-2</v>
      </c>
      <c r="D35" s="58">
        <f t="shared" si="10"/>
        <v>0.65708823529411764</v>
      </c>
      <c r="E35" s="58">
        <f t="shared" si="11"/>
        <v>5.2085350318471335E-2</v>
      </c>
      <c r="F35" s="58">
        <f t="shared" si="12"/>
        <v>0</v>
      </c>
      <c r="G35" s="58">
        <f t="shared" si="13"/>
        <v>0</v>
      </c>
      <c r="H35" s="58">
        <f t="shared" si="14"/>
        <v>0</v>
      </c>
      <c r="I35" s="58">
        <f t="shared" si="15"/>
        <v>5.7600000000000005E-2</v>
      </c>
      <c r="J35" s="58">
        <f t="shared" si="20"/>
        <v>0</v>
      </c>
      <c r="K35" s="58">
        <f t="shared" si="16"/>
        <v>0.13019999999999998</v>
      </c>
      <c r="L35" s="60">
        <f t="shared" si="17"/>
        <v>-5.8024102248682707E-2</v>
      </c>
      <c r="M35" s="61">
        <v>1011.74</v>
      </c>
      <c r="N35" s="61">
        <f t="shared" si="18"/>
        <v>953.0346947909178</v>
      </c>
      <c r="O35" s="89">
        <f>资产配置表!C14</f>
        <v>6.0069037499999992E-2</v>
      </c>
      <c r="P35" s="60">
        <f t="shared" si="19"/>
        <v>5.6583585526120035E-2</v>
      </c>
    </row>
    <row r="36" spans="1:16">
      <c r="A36" s="90" t="str">
        <f>组合权益类行业占比!J13</f>
        <v>创业板指</v>
      </c>
      <c r="B36" s="58">
        <f t="shared" si="8"/>
        <v>0</v>
      </c>
      <c r="C36" s="58">
        <f t="shared" si="9"/>
        <v>2.7806936416184973E-2</v>
      </c>
      <c r="D36" s="58">
        <f t="shared" si="10"/>
        <v>0.18315000000000001</v>
      </c>
      <c r="E36" s="58">
        <f t="shared" si="11"/>
        <v>5.914777070063694E-2</v>
      </c>
      <c r="F36" s="58">
        <f t="shared" si="12"/>
        <v>9.5932160804020103E-2</v>
      </c>
      <c r="G36" s="58">
        <f t="shared" si="13"/>
        <v>0.17454324324324322</v>
      </c>
      <c r="H36" s="58">
        <f t="shared" si="14"/>
        <v>5.1900000000000002E-2</v>
      </c>
      <c r="I36" s="58">
        <f t="shared" si="15"/>
        <v>0.26816470588235297</v>
      </c>
      <c r="J36" s="58">
        <f t="shared" si="20"/>
        <v>0</v>
      </c>
      <c r="K36" s="58">
        <f t="shared" si="16"/>
        <v>0</v>
      </c>
      <c r="L36" s="60">
        <f t="shared" si="17"/>
        <v>-0.13935518295356164</v>
      </c>
      <c r="M36" s="61">
        <v>1231.8599999999999</v>
      </c>
      <c r="N36" s="61">
        <f t="shared" si="18"/>
        <v>1060.1939243268255</v>
      </c>
      <c r="O36" s="89">
        <f>资产配置表!C8</f>
        <v>1.6085612499999999E-2</v>
      </c>
      <c r="P36" s="60">
        <f t="shared" si="19"/>
        <v>1.38439990271424E-2</v>
      </c>
    </row>
    <row r="37" spans="1:16">
      <c r="O37" s="89">
        <f>1-SUM(O25:O36)</f>
        <v>0.33748315000000007</v>
      </c>
      <c r="P37" s="60">
        <f>O37</f>
        <v>0.33748315000000007</v>
      </c>
    </row>
    <row r="38" spans="1:16">
      <c r="O38" s="89">
        <f>SUM(O25:O37)</f>
        <v>1</v>
      </c>
      <c r="P38" s="89">
        <f>SUM(P25:P37)</f>
        <v>0.95024154531416349</v>
      </c>
    </row>
    <row r="39" spans="1:16">
      <c r="B39" s="90"/>
      <c r="C39" s="90"/>
    </row>
    <row r="40" spans="1:16">
      <c r="B40" s="60"/>
      <c r="C40" s="60"/>
    </row>
    <row r="41" spans="1:16">
      <c r="B41" s="60"/>
      <c r="C41" s="60"/>
    </row>
    <row r="42" spans="1:16">
      <c r="B42" s="60"/>
      <c r="C42" s="60"/>
    </row>
    <row r="43" spans="1:16">
      <c r="B43" s="60"/>
      <c r="C43" s="60"/>
    </row>
    <row r="44" spans="1:16">
      <c r="B44" s="60"/>
      <c r="C44" s="60"/>
    </row>
    <row r="45" spans="1:16">
      <c r="B45" s="60"/>
      <c r="C45" s="60"/>
    </row>
    <row r="46" spans="1:16">
      <c r="B46" s="60"/>
      <c r="C46" s="60"/>
    </row>
    <row r="47" spans="1:16">
      <c r="B47" s="60"/>
      <c r="C47" s="60"/>
    </row>
    <row r="48" spans="1:16">
      <c r="B48" s="60"/>
      <c r="C48" s="60"/>
    </row>
    <row r="49" spans="2:3">
      <c r="B49" s="60"/>
      <c r="C49" s="60"/>
    </row>
    <row r="50" spans="2:3">
      <c r="B50" s="60"/>
      <c r="C50" s="60"/>
    </row>
    <row r="51" spans="2:3">
      <c r="B51" s="60"/>
      <c r="C51" s="60"/>
    </row>
  </sheetData>
  <phoneticPr fontId="3" type="noConversion"/>
  <conditionalFormatting sqref="B3:K13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4:I14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4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4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1:AB21">
    <cfRule type="colorScale" priority="1">
      <colorScale>
        <cfvo type="min"/>
        <cfvo type="max"/>
        <color rgb="FF00B050"/>
        <color theme="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B3:K13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C14:I14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workbookViewId="0">
      <selection activeCell="G70" sqref="G70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0.82256408654772062</v>
      </c>
      <c r="D2" s="21">
        <f>(($N$2+1)*((1+$K$2*$G$2))^D$1)</f>
        <v>0.98533839031244896</v>
      </c>
      <c r="E2" s="21">
        <f>(($N$2+1)*((1+$K$2*$G$2))^E$1)</f>
        <v>1.1803235265209968</v>
      </c>
      <c r="G2" s="88">
        <v>0.8</v>
      </c>
      <c r="I2" t="s">
        <v>215</v>
      </c>
      <c r="J2" s="18">
        <f>资产配置表!G28</f>
        <v>5.8900000000000001E-2</v>
      </c>
      <c r="K2" s="18">
        <f>已投部分年化收益率!W13</f>
        <v>0.1181</v>
      </c>
      <c r="L2" s="1">
        <f>资产配置表!H28</f>
        <v>10.390458846278054</v>
      </c>
      <c r="M2" s="1">
        <v>21.73</v>
      </c>
      <c r="N2" s="18">
        <f t="shared" ref="N2:N12" si="0">$M2*0.3/$L2-1</f>
        <v>-0.37259748617019373</v>
      </c>
      <c r="O2" s="18">
        <f t="shared" ref="O2:O12" si="1">$M2*0.5/$L2-1</f>
        <v>4.5670856383010383E-2</v>
      </c>
      <c r="P2" s="18">
        <f t="shared" ref="P2:P12" si="2">$M2*0.7/$L2-1</f>
        <v>0.46393919893621449</v>
      </c>
      <c r="Q2" s="18">
        <f t="shared" ref="Q2:Q12" si="3">$M2/$L2-1</f>
        <v>1.0913417127660208</v>
      </c>
    </row>
    <row r="3" spans="1:17">
      <c r="A3" s="19">
        <f>J2</f>
        <v>5.8900000000000001E-2</v>
      </c>
      <c r="B3" s="1">
        <f>M2*0.5</f>
        <v>10.865</v>
      </c>
      <c r="C3" s="21">
        <f>(($O$2+1)*((1+$K$2*$G$2))^C$1)</f>
        <v>1.3709401442462008</v>
      </c>
      <c r="D3" s="21">
        <f>(($O$2+1)*((1+$K$2*$G$2))^D$1)</f>
        <v>1.6422306505207482</v>
      </c>
      <c r="E3" s="21">
        <f>(($O$2+1)*((1+$K$2*$G$2))^E$1)</f>
        <v>1.9672058775349948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11.631060512648</v>
      </c>
      <c r="M3" s="1">
        <v>19</v>
      </c>
      <c r="N3" s="18">
        <f t="shared" si="0"/>
        <v>-0.50993290819855752</v>
      </c>
      <c r="O3" s="18">
        <f t="shared" si="1"/>
        <v>-0.18322151366426254</v>
      </c>
      <c r="P3" s="18">
        <f t="shared" si="2"/>
        <v>0.14348988087003223</v>
      </c>
      <c r="Q3" s="18">
        <f t="shared" si="3"/>
        <v>0.63355697267147493</v>
      </c>
    </row>
    <row r="4" spans="1:17">
      <c r="B4" s="1">
        <f>M2*0.7</f>
        <v>15.210999999999999</v>
      </c>
      <c r="C4" s="21">
        <f>(($P$2+1)*((1+$K$2*$G$2))^C$1)</f>
        <v>1.9193162019446812</v>
      </c>
      <c r="D4" s="21">
        <f>(($P$2+1)*((1+$K$2*$G$2))^D$1)</f>
        <v>2.2991229107290474</v>
      </c>
      <c r="E4" s="21">
        <f>(($P$2+1)*((1+$K$2*$G$2))^E$1)</f>
        <v>2.7540882285489925</v>
      </c>
      <c r="I4" t="s">
        <v>217</v>
      </c>
      <c r="J4" s="18">
        <f>资产配置表!G30</f>
        <v>0.21911088749999999</v>
      </c>
      <c r="K4" s="18">
        <f>已投部分年化收益率!W16</f>
        <v>9.0300000000000005E-2</v>
      </c>
      <c r="L4" s="1">
        <f>资产配置表!H30</f>
        <v>22.593146950757973</v>
      </c>
      <c r="M4" s="1">
        <v>83.24</v>
      </c>
      <c r="N4" s="18">
        <f t="shared" si="0"/>
        <v>0.10529091208173713</v>
      </c>
      <c r="O4" s="18">
        <f t="shared" si="1"/>
        <v>0.84215152013622863</v>
      </c>
      <c r="P4" s="18">
        <f t="shared" si="2"/>
        <v>1.5790121281907199</v>
      </c>
      <c r="Q4" s="18">
        <f t="shared" si="3"/>
        <v>2.6843030402724573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8.9899999999999994E-2</v>
      </c>
      <c r="L5" s="1">
        <f>资产配置表!H31</f>
        <v>28.026644822712921</v>
      </c>
      <c r="M5" s="1">
        <v>144.82</v>
      </c>
      <c r="N5" s="18">
        <f t="shared" si="0"/>
        <v>0.55016771628658034</v>
      </c>
      <c r="O5" s="18">
        <f t="shared" si="1"/>
        <v>1.5836128604776336</v>
      </c>
      <c r="P5" s="18">
        <f t="shared" si="2"/>
        <v>2.6170580046686873</v>
      </c>
      <c r="Q5" s="18">
        <f t="shared" si="3"/>
        <v>4.1672257209552672</v>
      </c>
    </row>
    <row r="6" spans="1:17">
      <c r="A6" t="s">
        <v>84</v>
      </c>
      <c r="B6" s="1">
        <f>M3*0.3</f>
        <v>5.7</v>
      </c>
      <c r="C6" s="21">
        <f>(($N$3+1)*((1+$K$3*$G$2))^C$1)</f>
        <v>0.65142577884057906</v>
      </c>
      <c r="D6" s="21">
        <f>(($N$3+1)*((1+$K$3*$G$2))^D$1)</f>
        <v>0.78753743686314448</v>
      </c>
      <c r="E6" s="21">
        <f>(($N$3+1)*((1+$K$3*$G$2))^E$1)</f>
        <v>0.95208884051970311</v>
      </c>
      <c r="I6" t="s">
        <v>178</v>
      </c>
      <c r="J6" s="18">
        <f>资产配置表!G32</f>
        <v>1.6085612499999999E-2</v>
      </c>
      <c r="K6" s="18">
        <f>已投部分年化收益率!W18</f>
        <v>0.11799999999999999</v>
      </c>
      <c r="L6" s="1">
        <f>资产配置表!H32</f>
        <v>33.20881023470217</v>
      </c>
      <c r="M6" s="1">
        <v>137.86000000000001</v>
      </c>
      <c r="N6" s="18">
        <f t="shared" si="0"/>
        <v>0.24539240363336434</v>
      </c>
      <c r="O6" s="18">
        <f t="shared" si="1"/>
        <v>1.0756540060556072</v>
      </c>
      <c r="P6" s="18">
        <f t="shared" si="2"/>
        <v>1.9059156084778501</v>
      </c>
      <c r="Q6" s="18">
        <f t="shared" si="3"/>
        <v>3.1513080121112145</v>
      </c>
    </row>
    <row r="7" spans="1:17">
      <c r="A7" s="19">
        <f>J3</f>
        <v>3.9856999999999997E-2</v>
      </c>
      <c r="B7" s="1">
        <f>M3*0.5</f>
        <v>9.5</v>
      </c>
      <c r="C7" s="21">
        <f>(($O$3+1)*((1+$K$3*$G$2))^C$1)</f>
        <v>1.0857096314009651</v>
      </c>
      <c r="D7" s="21">
        <f>(($O$3+1)*((1+$K$2*$G$2))^D$1)</f>
        <v>1.2827541828852329</v>
      </c>
      <c r="E7" s="21">
        <f>(($O$3+1)*((1+$K$3*$G$2))^E$1)</f>
        <v>1.5868147341995051</v>
      </c>
      <c r="I7" t="s">
        <v>219</v>
      </c>
      <c r="J7" s="18">
        <f>资产配置表!G33</f>
        <v>6.1076224999999998E-2</v>
      </c>
      <c r="K7" s="18">
        <f>已投部分年化收益率!W19</f>
        <v>0.12239999999999999</v>
      </c>
      <c r="L7" s="1">
        <f>资产配置表!H33</f>
        <v>28.459130847395937</v>
      </c>
      <c r="M7" s="1">
        <v>74.42</v>
      </c>
      <c r="N7" s="18">
        <f t="shared" si="0"/>
        <v>-0.2155066112272761</v>
      </c>
      <c r="O7" s="18">
        <f t="shared" si="1"/>
        <v>0.30748898128787316</v>
      </c>
      <c r="P7" s="18">
        <f t="shared" si="2"/>
        <v>0.83048457380302243</v>
      </c>
      <c r="Q7" s="18">
        <f t="shared" si="3"/>
        <v>1.6149779625757463</v>
      </c>
    </row>
    <row r="8" spans="1:17">
      <c r="B8" s="1">
        <f>M3*0.7</f>
        <v>13.299999999999999</v>
      </c>
      <c r="C8" s="21">
        <f>(($P$3+1)*((1+$K$3*$G$2))^C$1)</f>
        <v>1.5199934839613507</v>
      </c>
      <c r="D8" s="21">
        <f>(($P$3+1)*((1+$K$3*$G$2))^D$1)</f>
        <v>1.8375873526806701</v>
      </c>
      <c r="E8" s="21">
        <f>(($P$3+1)*((1+$K$3*$G$2))^E$1)</f>
        <v>2.2215406278793068</v>
      </c>
      <c r="I8" t="s">
        <v>220</v>
      </c>
      <c r="J8" s="18">
        <f>资产配置表!G34</f>
        <v>5.6750000000000002E-2</v>
      </c>
      <c r="K8" s="18">
        <f>已投部分年化收益率!W21</f>
        <v>0.12720000000000001</v>
      </c>
      <c r="L8" s="1">
        <f>资产配置表!H34</f>
        <v>24.058844981443023</v>
      </c>
      <c r="M8" s="1">
        <v>52.47</v>
      </c>
      <c r="N8" s="18">
        <f t="shared" si="0"/>
        <v>-0.34572918973702649</v>
      </c>
      <c r="O8" s="18">
        <f t="shared" si="1"/>
        <v>9.0451350438289113E-2</v>
      </c>
      <c r="P8" s="18">
        <f t="shared" si="2"/>
        <v>0.52663189061360471</v>
      </c>
      <c r="Q8" s="18">
        <f t="shared" si="3"/>
        <v>1.1809027008765782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8.5699999999999998E-2</v>
      </c>
      <c r="L9" s="1">
        <f>资产配置表!H35</f>
        <v>24.829376807487442</v>
      </c>
      <c r="M9" s="1">
        <v>71.13</v>
      </c>
      <c r="N9" s="18">
        <f t="shared" si="0"/>
        <v>-0.14057448298238806</v>
      </c>
      <c r="O9" s="18">
        <f t="shared" si="1"/>
        <v>0.43237586169602005</v>
      </c>
      <c r="P9" s="18">
        <f t="shared" si="2"/>
        <v>1.0053262063744279</v>
      </c>
      <c r="Q9" s="18">
        <f t="shared" si="3"/>
        <v>1.8647517233920401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1.362550517234264</v>
      </c>
      <c r="D10" s="21">
        <f>(($N$4+1)*((1+$K$4*$G$2))^D$1)</f>
        <v>1.5665224460743985</v>
      </c>
      <c r="E10" s="21">
        <f>(($N$4+1)*((1+$K$4*$G$2))^E$1)</f>
        <v>1.8010286906911066</v>
      </c>
      <c r="I10" t="s">
        <v>222</v>
      </c>
      <c r="J10" s="18">
        <f>资产配置表!G36</f>
        <v>3.70254125E-2</v>
      </c>
      <c r="K10" s="18">
        <f>已投部分年化收益率!W33</f>
        <v>0.11559999999999999</v>
      </c>
      <c r="L10" s="1">
        <f>资产配置表!H36</f>
        <v>29.530659488658774</v>
      </c>
      <c r="M10" s="1">
        <v>121.16</v>
      </c>
      <c r="N10" s="18">
        <f t="shared" si="0"/>
        <v>0.23085635842164032</v>
      </c>
      <c r="O10" s="18">
        <f t="shared" si="1"/>
        <v>1.0514272640360671</v>
      </c>
      <c r="P10" s="18">
        <f t="shared" si="2"/>
        <v>1.8719981696504941</v>
      </c>
      <c r="Q10" s="18">
        <f t="shared" si="3"/>
        <v>3.1028545280721342</v>
      </c>
    </row>
    <row r="11" spans="1:17">
      <c r="A11" s="19">
        <f>J4</f>
        <v>0.21911088749999999</v>
      </c>
      <c r="B11" s="1">
        <f>M4*0.5</f>
        <v>41.62</v>
      </c>
      <c r="C11" s="21">
        <f>(($O$4+1)*((1+$K$4*$G$2))^C$1)</f>
        <v>2.2709175287237735</v>
      </c>
      <c r="D11" s="21">
        <f>(($O$4+1)*((1+$K$4*$G$2))^D$1)</f>
        <v>2.6108707434573311</v>
      </c>
      <c r="E11" s="21">
        <f>(($O$4+1)*((1+$K$4*$G$2))^E$1)</f>
        <v>3.001714484485178</v>
      </c>
      <c r="I11" t="s">
        <v>223</v>
      </c>
      <c r="J11" s="18">
        <f>资产配置表!G37</f>
        <v>2.4E-2</v>
      </c>
      <c r="K11" s="18">
        <f>已投部分年化收益率!W14</f>
        <v>0.12520000000000001</v>
      </c>
      <c r="L11" s="1">
        <f>资产配置表!H37</f>
        <v>1.1267127082601742</v>
      </c>
      <c r="M11" s="1">
        <v>3.5</v>
      </c>
      <c r="N11" s="18">
        <f t="shared" si="0"/>
        <v>-6.8085420265322938E-2</v>
      </c>
      <c r="O11" s="18">
        <f t="shared" si="1"/>
        <v>0.55319096622446162</v>
      </c>
      <c r="P11" s="18">
        <f t="shared" si="2"/>
        <v>1.1744673527142462</v>
      </c>
      <c r="Q11" s="18">
        <f t="shared" si="3"/>
        <v>2.1063819324489232</v>
      </c>
    </row>
    <row r="12" spans="1:17">
      <c r="B12" s="1">
        <f>M4*0.7</f>
        <v>58.267999999999994</v>
      </c>
      <c r="C12" s="21">
        <f>(($P$4+1)*((1+$K$4*$G$2))^C$1)</f>
        <v>3.1792845402132826</v>
      </c>
      <c r="D12" s="21">
        <f>(($P$4+1)*((1+$K$4*$G$2))^D$1)</f>
        <v>3.6552190408402629</v>
      </c>
      <c r="E12" s="21">
        <f>(($P$4+1)*((1+$K$4*$G$2))^E$1)</f>
        <v>4.2024002782792484</v>
      </c>
      <c r="I12" t="s">
        <v>239</v>
      </c>
      <c r="J12" s="18">
        <f>资产配置表!G38</f>
        <v>3.1965149999999998E-2</v>
      </c>
      <c r="K12" s="18">
        <f>已投部分年化收益率!W22</f>
        <v>6.1899999999999997E-2</v>
      </c>
      <c r="L12" s="1">
        <f>资产配置表!H38</f>
        <v>1.3279235342961813</v>
      </c>
      <c r="M12">
        <v>5.04</v>
      </c>
      <c r="N12" s="18">
        <f t="shared" si="0"/>
        <v>0.13861977813457615</v>
      </c>
      <c r="O12" s="18">
        <f t="shared" si="1"/>
        <v>0.89769963022429344</v>
      </c>
      <c r="P12" s="18">
        <f t="shared" si="2"/>
        <v>1.6567794823140103</v>
      </c>
      <c r="Q12" s="18">
        <f t="shared" si="3"/>
        <v>2.7953992604485869</v>
      </c>
    </row>
    <row r="13" spans="1:17">
      <c r="B13" s="1"/>
      <c r="E13" s="21"/>
      <c r="I13" t="s">
        <v>284</v>
      </c>
      <c r="J13" s="18">
        <f>资产配置表!C20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1.9092632375284679</v>
      </c>
      <c r="D14" s="21">
        <f>(($N$5+1)*((1+$K$5*$G$2))^D$1)</f>
        <v>2.1937672997446986</v>
      </c>
      <c r="E14" s="21">
        <f>(($N$5+1)*((1+$K$5*$G$2))^E$1)</f>
        <v>2.5206660196626705</v>
      </c>
      <c r="I14" t="s">
        <v>282</v>
      </c>
      <c r="J14" s="18">
        <f>资产配置表!C15</f>
        <v>2.4E-2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3.1821053958807797</v>
      </c>
      <c r="D15" s="21">
        <f>(($O$5+1)*((1+$K$5*$G$2))^D$1)</f>
        <v>3.6562788329078306</v>
      </c>
      <c r="E15" s="21">
        <f>(($O$5+1)*((1+$K$5*$G$2))^E$1)</f>
        <v>4.2011100327711164</v>
      </c>
      <c r="I15" t="s">
        <v>283</v>
      </c>
      <c r="J15" s="18">
        <f>资产配置表!C16</f>
        <v>2.3474862499999999E-2</v>
      </c>
      <c r="K15" s="18"/>
    </row>
    <row r="16" spans="1:17">
      <c r="B16" s="1">
        <f>M5*0.7</f>
        <v>101.374</v>
      </c>
      <c r="C16" s="21">
        <f>(($P$5+1)*((1+$K$5*$G$2))^C$1)</f>
        <v>4.4549475542330921</v>
      </c>
      <c r="D16" s="21">
        <f>(($P$5+1)*((1+$K$5*$G$2))^D$1)</f>
        <v>5.1187903660709635</v>
      </c>
      <c r="E16" s="21">
        <f>(($P$5+1)*((1+$K$5*$G$2))^E$1)</f>
        <v>5.8815540458795637</v>
      </c>
      <c r="I16" t="s">
        <v>233</v>
      </c>
      <c r="J16" s="19">
        <f>1-SUM(J2:J15)</f>
        <v>0.28581265</v>
      </c>
      <c r="K16" s="19"/>
    </row>
    <row r="17" spans="1:14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1.6324296169131838</v>
      </c>
      <c r="D18" s="21">
        <f>(($N$6+1)*((1+$K$6*$G$2))^D$1)</f>
        <v>1.9551794965773683</v>
      </c>
      <c r="E18" s="21">
        <f>(($N$6+1)*((1+$K$6*$G$2))^E$1)</f>
        <v>2.3417406938897951</v>
      </c>
    </row>
    <row r="19" spans="1:14">
      <c r="A19" s="19">
        <f>J6</f>
        <v>1.6085612499999999E-2</v>
      </c>
      <c r="B19" s="1">
        <f>M6*0.5</f>
        <v>68.930000000000007</v>
      </c>
      <c r="C19" s="21">
        <f>(($O$6+1)*((1+$K$6*$G$2))^C$1)</f>
        <v>2.7207160281886398</v>
      </c>
      <c r="D19" s="21">
        <f>(($O$6+1)*((1+$K$6*$G$2))^D$1)</f>
        <v>3.2586324942956137</v>
      </c>
      <c r="E19" s="21">
        <f>(($O$6+1)*((1+$K$6*$G$2))^E$1)</f>
        <v>3.9029011564829923</v>
      </c>
      <c r="I19" t="s">
        <v>227</v>
      </c>
    </row>
    <row r="20" spans="1:14">
      <c r="B20" s="1">
        <f>M6*0.7</f>
        <v>96.50200000000001</v>
      </c>
      <c r="C20" s="21">
        <f>(($P$6+1)*((1+$K$6*$G$2))^C$1)</f>
        <v>3.8090024394640953</v>
      </c>
      <c r="D20" s="21">
        <f>(($P$6+1)*((1+$K$6*$G$2))^D$1)</f>
        <v>4.5620854920138596</v>
      </c>
      <c r="E20" s="21">
        <f>(($P$6+1)*((1+$K$6*$G$2))^E$1)</f>
        <v>5.4640616190761886</v>
      </c>
    </row>
    <row r="21" spans="1:14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1.0382486548205698</v>
      </c>
      <c r="D22" s="21">
        <f>(($N$7+1)*((1+$K$7*$G$2))^D$1)</f>
        <v>1.2515343383674107</v>
      </c>
      <c r="E22" s="21">
        <f>(($N$7+1)*((1+$K$7*$G$2))^E$1)</f>
        <v>1.5086349429303594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1.7304144247009496</v>
      </c>
      <c r="D23" s="21">
        <f>(($O$7+1)*((1+$K$7*$G$2))^D$1)</f>
        <v>2.0858905639456844</v>
      </c>
      <c r="E23" s="21">
        <f>(($O$7+1)*((1+$K$7*$G$2))^E$1)</f>
        <v>2.5143915715505991</v>
      </c>
    </row>
    <row r="24" spans="1:14">
      <c r="B24" s="1">
        <f>M7*0.7</f>
        <v>52.094000000000001</v>
      </c>
      <c r="C24" s="21">
        <f>(($P$7+1)*((1+$K$7*$G$2))^C$1)</f>
        <v>2.4225801945813297</v>
      </c>
      <c r="D24" s="21">
        <f>(($P$7+1)*((1+$K$7*$G$2))^D$1)</f>
        <v>2.9202467895239583</v>
      </c>
      <c r="E24" s="21">
        <f>(($P$7+1)*((1+$K$7*$G$2))^E$1)</f>
        <v>3.5201482001708388</v>
      </c>
    </row>
    <row r="25" spans="1:14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0.87502114538812803</v>
      </c>
      <c r="D26" s="21">
        <f>(($N$8+1)*((1+$K$8*$G$2))^D$1)</f>
        <v>1.0621663782600779</v>
      </c>
      <c r="E26" s="21">
        <f>(($N$8+1)*((1+$K$8*$G$2))^E$1)</f>
        <v>1.2893373160778907</v>
      </c>
      <c r="L26" t="s">
        <v>7436</v>
      </c>
    </row>
    <row r="27" spans="1:14">
      <c r="A27" s="19">
        <f>J8</f>
        <v>5.6750000000000002E-2</v>
      </c>
      <c r="B27" s="1">
        <f>M8*0.5</f>
        <v>26.234999999999999</v>
      </c>
      <c r="C27" s="21">
        <f>(($O$8+1)*((1+$K$8*$G$2))^C$1)</f>
        <v>1.45836857564688</v>
      </c>
      <c r="D27" s="21">
        <f>(($O$8+1)*((1+$K$8*$G$2))^D$1)</f>
        <v>1.7702772971001297</v>
      </c>
      <c r="E27" s="21">
        <f>(($O$8+1)*((1+$K$8*$G$2))^E$1)</f>
        <v>2.1488955267964842</v>
      </c>
      <c r="L27" t="s">
        <v>7428</v>
      </c>
      <c r="M27" t="s">
        <v>7429</v>
      </c>
      <c r="N27" t="s">
        <v>7430</v>
      </c>
    </row>
    <row r="28" spans="1:14">
      <c r="B28" s="1">
        <f>M8*0.7</f>
        <v>36.728999999999999</v>
      </c>
      <c r="C28" s="21">
        <f>(($P$8+1)*((1+$K$8*$G$2))^C$1)</f>
        <v>2.0417160059056321</v>
      </c>
      <c r="D28" s="21">
        <f>(($P$8+1)*((1+$K$8*$G$2))^D$1)</f>
        <v>2.4783882159401815</v>
      </c>
      <c r="E28" s="21">
        <f>(($P$8+1)*((1+$K$8*$G$2))^E$1)</f>
        <v>3.0084537375150777</v>
      </c>
      <c r="L28" t="s">
        <v>7431</v>
      </c>
      <c r="M28" t="s">
        <v>7432</v>
      </c>
      <c r="N28" t="s">
        <v>7433</v>
      </c>
    </row>
    <row r="29" spans="1:14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1.0485882405282769</v>
      </c>
      <c r="D30" s="21">
        <f>(($N$9+1)*((1+$K$9*$G$2))^D$1)</f>
        <v>1.197299521411388</v>
      </c>
      <c r="E30" s="21">
        <f>(($N$9+1)*((1+$K$9*$G$2))^E$1)</f>
        <v>1.367101106579004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1.7476470675471285</v>
      </c>
      <c r="D31" s="21">
        <f>(($O$9+1)*((1+$K$9*$G$2))^D$1)</f>
        <v>1.9954992023523135</v>
      </c>
      <c r="E31" s="21">
        <f>(($O$9+1)*((1+$K$9*$G$2))^E$1)</f>
        <v>2.2785018442983405</v>
      </c>
    </row>
    <row r="32" spans="1:14">
      <c r="B32" s="1">
        <f>M9*0.7</f>
        <v>49.790999999999997</v>
      </c>
      <c r="C32" s="21">
        <f>(($P$9+1)*((1+$K$9*$G$2))^C$1)</f>
        <v>2.4467058945659796</v>
      </c>
      <c r="D32" s="21">
        <f>(($P$9+1)*((1+$K$9*$G$2))^D$1)</f>
        <v>2.7936988832932386</v>
      </c>
      <c r="E32" s="21">
        <f>(($P$9+1)*((1+$K$9*$G$2))^E$1)</f>
        <v>3.1899025820176763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1.6048995629808565</v>
      </c>
      <c r="D34" s="21">
        <f>(($N$10+1)*((1+$K$10*$G$2))^D$1)</f>
        <v>1.9154677705491274</v>
      </c>
      <c r="E34" s="21">
        <f>(($N$10+1)*((1+$K$10*$G$2))^E$1)</f>
        <v>2.2861348240370916</v>
      </c>
      <c r="L34" t="s">
        <v>7439</v>
      </c>
      <c r="M34" t="s">
        <v>7439</v>
      </c>
      <c r="N34" t="s">
        <v>7439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2.6748326049680937</v>
      </c>
      <c r="D35" s="21">
        <f>(($O$10+1)*((1+$K$10*$G$2))^D$1)</f>
        <v>3.1924462842485459</v>
      </c>
      <c r="E35" s="21">
        <f>(($O$10+1)*((1+$K$10*$G$2))^E$1)</f>
        <v>3.8102247067284858</v>
      </c>
      <c r="L35" t="s">
        <v>7440</v>
      </c>
      <c r="M35" t="s">
        <v>7440</v>
      </c>
      <c r="N35" t="s">
        <v>7440</v>
      </c>
    </row>
    <row r="36" spans="1:14">
      <c r="B36" s="1">
        <f>M10*0.7</f>
        <v>84.811999999999998</v>
      </c>
      <c r="C36" s="21">
        <f>(($P$10+1)*((1+$K$10*$G$2))^C$1)</f>
        <v>3.7447656469553317</v>
      </c>
      <c r="D36" s="21">
        <f>(($P$10+1)*((1+$K$10*$G$2))^D$1)</f>
        <v>4.4694247979479647</v>
      </c>
      <c r="E36" s="21">
        <f>(($P$10+1)*((1+$K$10*$G$2))^E$1)</f>
        <v>5.33431458941988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1.2409196403467257</v>
      </c>
      <c r="D38" s="21">
        <f>(($N$11+1)*((1+$K$11*$G$2))^D$1)</f>
        <v>1.5019496003004831</v>
      </c>
      <c r="E38" s="21">
        <f>(($N$11+1)*((1+$K$11*$G$2))^E$1)</f>
        <v>1.8178877410728</v>
      </c>
    </row>
    <row r="39" spans="1:14">
      <c r="A39" s="19">
        <f>J11</f>
        <v>2.4E-2</v>
      </c>
      <c r="B39" s="1">
        <f>M11*0.5</f>
        <v>1.75</v>
      </c>
      <c r="C39" s="21">
        <f>(($O$11+1)*((1+$K$11*$G$2))^C$1)</f>
        <v>2.0681994005778761</v>
      </c>
      <c r="D39" s="21">
        <f>(($O$11+1)*((1+$K$11*$G$2))^D$1)</f>
        <v>2.5032493338341384</v>
      </c>
      <c r="E39" s="21">
        <f>(($O$11+1)*((1+$K$11*$G$2))^E$1)</f>
        <v>3.0298129017879996</v>
      </c>
    </row>
    <row r="40" spans="1:14">
      <c r="B40" s="1">
        <f>M11*0.7</f>
        <v>2.4499999999999997</v>
      </c>
      <c r="C40" s="21">
        <f>(($P$11+1)*((1+$K$11*$G$2))^C$1)</f>
        <v>2.8954791608090265</v>
      </c>
      <c r="D40" s="21">
        <f>(($P$11+1)*((1+$K$11*$G$2))^D$1)</f>
        <v>3.5045490673677935</v>
      </c>
      <c r="E40" s="21">
        <f>(($P$11+1)*((1+$K$11*$G$2))^E$1)</f>
        <v>4.2417380625031997</v>
      </c>
    </row>
    <row r="42" spans="1:14">
      <c r="A42" t="s">
        <v>7437</v>
      </c>
      <c r="B42" s="1">
        <f>M12*0.3</f>
        <v>1.512</v>
      </c>
      <c r="C42" s="21">
        <f>(($N$12+1)*((1+$K$12*$G$2))^C$1)</f>
        <v>1.3162878741420403</v>
      </c>
      <c r="D42" s="21">
        <f>(($N$12+1)*((1+$K$12*$G$2))^D$1)</f>
        <v>1.4498808663371905</v>
      </c>
      <c r="E42" s="21">
        <f>(($N$12+1)*((1+$K$12*$G$2))^E$1)</f>
        <v>1.5970325092760365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2.1938131235700671</v>
      </c>
      <c r="D43" s="21">
        <f>(($O$12+1)*((1+$K$12*$G$2))^D$1)</f>
        <v>2.4164681105619841</v>
      </c>
      <c r="E43" s="21">
        <f>(($O$12+1)*((1+$K$12*$G$2))^E$1)</f>
        <v>2.6617208487933937</v>
      </c>
    </row>
    <row r="44" spans="1:14">
      <c r="B44" s="1">
        <f>M12*0.7</f>
        <v>3.5279999999999996</v>
      </c>
      <c r="C44" s="21">
        <f>(($P$12+1)*((1+$K$12*$G$2))^C$1)</f>
        <v>3.0713383729980932</v>
      </c>
      <c r="D44" s="21">
        <f>(($P$12+1)*((1+$K$12*$G$2))^D$1)</f>
        <v>3.383055354786777</v>
      </c>
      <c r="E44" s="21">
        <f>(($P$12+1)*((1+$K$12*$G$2))^E$1)</f>
        <v>3.7264091883107509</v>
      </c>
    </row>
    <row r="45" spans="1:14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0.28581265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5.991324575659851E-2</v>
      </c>
      <c r="D64" s="92">
        <f>(D2*$A$3+D6*$A$7+D10*$A$11+D14*$A$15+D18*$A$19+D22*$A$23+D26*$A$27+D30*$A$31+D34*$A$35+D38*$A$39+D42*$A$43+D46*$A$47+D50*$A$51+D54*$A$55+D58*$A$59)^(1/$D$1)-1</f>
        <v>6.2081728123531299E-2</v>
      </c>
      <c r="E64" s="92">
        <f>(E2*$A$3+E6*$A$7+E10*$A$11+E14*$A$15+E18*$A$19+E22*$A$23+E26*$A$27+E30*$A$31+E34*$A$35+E38*$A$39+E42*$A$43+E46*$A$47+E50*$A$51+E54*$A$55+E58*$A$59)^(1/$E$1)-1</f>
        <v>6.3146596938278066E-2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0.19928772207448997</v>
      </c>
      <c r="D65" s="93">
        <f>(D3*$A$3+D7*$A$7+D11*$A$11+D15*$A$15+D19*$A$19+D23*$A$23+D27*$A$27+D31*$A$31+D35*$A$35+D39*$A$39+D43*$A$43+D47*$A$47+D51*$A$51+D55*$A$55+D59*$A$59)^(1/$D$1)-1</f>
        <v>0.14563999254161208</v>
      </c>
      <c r="E65" s="92">
        <f>(E3*$A$3+E7*$A$7+E11*$A$11+E15*$A$15+E19*$A$19+E23*$A$23+E27*$A$27+E31*$A$31+E35*$A$35+E39*$A$39+E43*$A$43+E47*$A$47+E51*$A$51+E55*$A$55+E59*$A$59)^(1/$E$1)-1</f>
        <v>0.12374083926000945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0.31213992420139625</v>
      </c>
      <c r="D66" s="91">
        <f>(D4*$A$3+D8*$A$7+D12*$A$11+D16*$A$15+D20*$A$19+D24*$A$23+D28*$A$27+D32*$A$31+D36*$A$35+D40*$A$39+D44*$A$43+D48*$A$47+D52*$A$51+D56*$A$55+D60*$A$59)^(1/$D$1)-1</f>
        <v>0.21039620830356109</v>
      </c>
      <c r="E66" s="91">
        <f>(E4*$A$3+E8*$A$7+E12*$A$11+E16*$A$15+E20*$A$19+E24*$A$23+E28*$A$27+E32*$A$31+E36*$A$35+E40*$A$39+E44*$A$43+E48*$A$47+E52*$A$51+E56*$A$55+E60*$A$59)^(1/$E$1)-1</f>
        <v>0.16940768222902491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topLeftCell="D1" workbookViewId="0">
      <selection activeCell="K2" sqref="K2:T13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$B$2*K$2+$B$3*K$3+$B$4*K$4+$B$5*K$5+$B$6*K$6+$B$7*K$7+$B$8*K$8+$B$9*K$9+$B$10*K$10+$B$11*K$11+$B$12*K$12+$B13*$K$13</f>
        <v>1.1365241513750001E-2</v>
      </c>
      <c r="G2" s="81">
        <f>$B$16*K$2+$B$17*K$3+$B$18*K$4+$B$19*K$5+$B$20*K$6+$B$21*K$7+$B$22*K$8+$B$23*K$9+$B$24*K$10+$B$25*K$11+$B$26*K$12+$B$27*K$13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$B$2*L$2+$B$3*L$3+$B$4*L$4+$B$5*L$5+$B$6*L$6+$B$7*L$7+$B$8*L$8+$B$9*L$9+$B$10*L$10+$B$11*L$11+$B$12*L$12+$B13*$L$13</f>
        <v>5.3811431077499999E-2</v>
      </c>
      <c r="G3" s="81">
        <f>$B$16*L$2+$B$17*L$3+$B$18*L$4+$B$19*L$5+$B$20*L$6+$B$21*L$7+$B$22*L$8+$B$23*L$9+$B$24*L$10+$B$25*L$11+$B$26*L$12+$B$27*L$13</f>
        <v>3.9125990000000006E-2</v>
      </c>
      <c r="H3" s="79">
        <f t="shared" ref="H3:H11" si="0">F3-G3</f>
        <v>1.4685441077499993E-2</v>
      </c>
      <c r="J3" s="82" t="s">
        <v>258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$B$2*M$2+$B$3*M$3+$B$4*M$4+$B$5*M$5+$B$6*M$6+$B$7*M$7+$B$8*M$8+$B$9*M$9+$B$10*M$10+$B$11*M$11+$B$12*M$12+$B13*$M$13</f>
        <v>0.11918286947874999</v>
      </c>
      <c r="G4" s="81">
        <f>$B$16*M$2+$B$17*M$3+$B$18*M$4+$B$19*M$5+$B$20*M$6+$B$21*M$7+$B$22*M$8+$B$23*M$9+$B$24*M$10+$B$25*M$11+$B$26*M$12+$B$27*M$13</f>
        <v>0.10271703000000001</v>
      </c>
      <c r="H4" s="79">
        <f t="shared" si="0"/>
        <v>1.646583947874998E-2</v>
      </c>
      <c r="J4" s="82" t="s">
        <v>259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$B$2*N$2+$B$3*N$3+$B$4*N$4+$B$5*N$5+$B$6*N$6+$B$7*N$7+$B$8*N$8+$B$9*N$9+$B$10*N$10+$B$11*N$11+$B$12*N$12+$B13*$N$13</f>
        <v>7.6992721956249996E-2</v>
      </c>
      <c r="G5" s="81">
        <f>$B$16*N$2+$B$17*N$3+$B$18*N$4+$B$19*N$5+$B$20*N$6+$B$21*N$7+$B$22*N$8+$B$23*N$9+$B$24*N$10+$B$25*N$11+$B$26*N$12+$B$27*N$13</f>
        <v>6.5978250000000016E-2</v>
      </c>
      <c r="H5" s="79">
        <f t="shared" si="0"/>
        <v>1.101447195624998E-2</v>
      </c>
      <c r="J5" s="82" t="s">
        <v>260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$B$2*O$2+$B$3*O$3+$B$4*O$4+$B$5*O$5+$B$6*O$6+$B$7*O$7+$B$8*O$8+$B$9*O$9+$B$10*O$10+$B$11*O$11+$B$12*O$12+$B13*$O$13</f>
        <v>3.1456937638750002E-2</v>
      </c>
      <c r="G6" s="81">
        <f>$B$16*O$2+$B$17*O$3+$B$18*O$4+$B$19*O$5+$B$20*O$6+$B$21*O$7+$B$22*O$8+$B$23*O$9+$B$24*O$10+$B$25*O$11+$B$26*O$12+$B$27*O$13</f>
        <v>3.198848E-2</v>
      </c>
      <c r="H6" s="79">
        <f t="shared" si="0"/>
        <v>-5.315423612499981E-4</v>
      </c>
      <c r="J6" s="82" t="s">
        <v>262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$B$2*P$2+$B$3*P$3+$B$4*P$4+$B$5*P$5+$B$6*P$6+$B$7*P$7+$B$8*P$8+$B$9*P$9+$B$10*P$10+$B$11*P$11+$B$12*P$12+$B13*$P$13</f>
        <v>0.107861590195</v>
      </c>
      <c r="G7" s="81">
        <f>$B$16*P$2+$B$17*P$3+$B$18*P$4+$B$19*P$5+$B$20*P$6+$B$21*P$7+$B$22*P$8+$B$23*P$9+$B$24*P$10+$B$25*P$11+$B$26*P$12+$B$27*P$13</f>
        <v>9.9665850000000014E-2</v>
      </c>
      <c r="H7" s="79">
        <f t="shared" si="0"/>
        <v>8.1957401949999814E-3</v>
      </c>
      <c r="J7" s="82" t="s">
        <v>267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$B$2*Q$2+$B$3*Q$3+$B$4*Q$4+$B$5*Q$5+$B$6*Q$6+$B$7*Q$7+$B$8*Q$8+$B$9*Q$9+$B$10*Q$10+$B$11*Q$11+$B$12*Q$12+$B13*$Q$13</f>
        <v>0.15371955681125002</v>
      </c>
      <c r="G8" s="81">
        <f>$B$16*Q$2+$B$17*Q$3+$B$18*Q$4+$B$19*Q$5+$B$20*Q$6+$B$21*Q$7+$B$22*Q$8+$B$23*Q$9+$B$24*Q$10+$B$25*Q$11+$B$26*Q$12+$B$27*Q$13</f>
        <v>0.18537292000000002</v>
      </c>
      <c r="H8" s="79">
        <f t="shared" si="0"/>
        <v>-3.1653363188750006E-2</v>
      </c>
      <c r="J8" s="82" t="s">
        <v>266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$B$2*R$2+$B$3*R$3+$B$4*R$4+$B$5*R$5+$B$6*R$6+$B$7*R$7+$B$8*R$8+$B$9*R$9+$B$10*R$10+$B$11*R$11+$B$12*R$12+$B13*$R$13</f>
        <v>7.5959240501250011E-2</v>
      </c>
      <c r="G9" s="81">
        <f>$B$16*R$2+$B$17*R$3+$B$18*R$4+$B$19*R$5+$B$20*R$6+$B$21*R$7+$B$22*R$8+$B$23*R$9+$B$24*R$10+$B$25*R$11+$B$26*R$12+$B$27*R$13</f>
        <v>5.6698750000000006E-2</v>
      </c>
      <c r="H9" s="79">
        <f t="shared" si="0"/>
        <v>1.9260490501250005E-2</v>
      </c>
      <c r="J9" s="82" t="s">
        <v>271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$B$2*S$2+$B$3*S$3+$B$4*S$4+$B$5*S$5+$B$6*S$6+$B$7*S$7+$B$8*S$8+$B$9*S$9+$B$10*S$10+$B$11*S$11+$B$12*S$12+$B13*$S$13</f>
        <v>5.841367018749999E-3</v>
      </c>
      <c r="G10" s="81">
        <f>$B$16*S$2+$B$17*S$3+$B$18*S$4+$B$19*S$5+$B$20*S$6+$B$21*S$7+$B$22*S$8+$B$23*S$9+$B$24*S$10+$B$25*S$11+$B$26*S$12+$B$27*S$13</f>
        <v>3.7004100000000003E-3</v>
      </c>
      <c r="H10" s="79">
        <f t="shared" si="0"/>
        <v>2.1409570187499987E-3</v>
      </c>
      <c r="J10" s="82" t="s">
        <v>264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$B$2*T$2+$B$3*T$3+$B$4*T$4+$B$5*T$5+$B$6*T$6+$B$7*T$7+$B$8*T$8+$B$9*T$9+$B$10*T$10+$B$11*T$11+$B$12*T$12+$B13*$T$13</f>
        <v>2.6363448349999999E-2</v>
      </c>
      <c r="G11" s="81">
        <f>$B$16*T$2+$B$17*T$3+$B$18*T$4+$B$19*T$5+$B$20*T$6+$B$21*T$7+$B$22*T$8+$B$23*T$9+$B$24*T$10+$B$25*T$11+$B$26*T$12+$B$27*T$13</f>
        <v>2.6684090000000001E-2</v>
      </c>
      <c r="H11" s="79">
        <f t="shared" si="0"/>
        <v>-3.2064165000000172E-4</v>
      </c>
      <c r="J11" s="82" t="s">
        <v>269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273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3" spans="1:20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3857</v>
      </c>
      <c r="K13" s="18">
        <v>0</v>
      </c>
      <c r="L13" s="18">
        <v>3.5900000000000001E-2</v>
      </c>
      <c r="M13" s="18">
        <v>0.18870000000000001</v>
      </c>
      <c r="N13" s="18">
        <v>6.0299999999999999E-2</v>
      </c>
      <c r="O13" s="18">
        <v>9.7900000000000001E-2</v>
      </c>
      <c r="P13" s="18">
        <v>0.18540000000000001</v>
      </c>
      <c r="Q13" s="18">
        <v>5.1900000000000002E-2</v>
      </c>
      <c r="R13" s="18">
        <v>0.37990000000000002</v>
      </c>
      <c r="S13" s="18">
        <v>0</v>
      </c>
      <c r="T13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>
      <c r="A17" s="80" t="s">
        <v>44</v>
      </c>
      <c r="B17" s="18">
        <f>资产配置表!D4</f>
        <v>6.0299999999999999E-2</v>
      </c>
    </row>
    <row r="18" spans="1:22">
      <c r="A18" s="80" t="s">
        <v>40</v>
      </c>
      <c r="B18" s="18">
        <f>资产配置表!D5</f>
        <v>4.02E-2</v>
      </c>
    </row>
    <row r="19" spans="1:22">
      <c r="A19" s="80" t="s">
        <v>18</v>
      </c>
      <c r="B19" s="18">
        <f>资产配置表!D6</f>
        <v>0.15410000000000001</v>
      </c>
    </row>
    <row r="20" spans="1:22">
      <c r="A20" s="80" t="s">
        <v>19</v>
      </c>
      <c r="B20" s="18">
        <f>资产配置表!D7</f>
        <v>0</v>
      </c>
      <c r="L20" s="85"/>
      <c r="M20" s="85"/>
      <c r="N20" s="85"/>
      <c r="O20" s="85"/>
      <c r="P20" s="85"/>
      <c r="Q20" s="85"/>
      <c r="R20" s="85"/>
      <c r="S20" s="85"/>
      <c r="T20" s="85"/>
      <c r="U20" s="85"/>
    </row>
    <row r="21" spans="1:22">
      <c r="A21" s="80" t="s">
        <v>68</v>
      </c>
      <c r="B21" s="18">
        <f>资产配置表!D9</f>
        <v>6.7000000000000004E-2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2">
      <c r="A22" s="25" t="s">
        <v>56</v>
      </c>
      <c r="B22" s="18">
        <f>资产配置表!D10</f>
        <v>2.6800000000000001E-2</v>
      </c>
    </row>
    <row r="23" spans="1:22">
      <c r="A23" s="25" t="s">
        <v>59</v>
      </c>
      <c r="B23" s="18">
        <f>资产配置表!D11</f>
        <v>2.01E-2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资产配置表!D14</f>
        <v>6.0299999999999999E-2</v>
      </c>
      <c r="K26" s="18"/>
      <c r="N26" s="18"/>
    </row>
    <row r="27" spans="1:22">
      <c r="A27" s="25" t="s">
        <v>3858</v>
      </c>
      <c r="B27" s="19">
        <f>资产配置表!D8</f>
        <v>2.01E-2</v>
      </c>
      <c r="K27" s="18"/>
      <c r="N27" s="18"/>
    </row>
    <row r="28" spans="1:22">
      <c r="K28" s="18"/>
      <c r="N28" s="18"/>
    </row>
    <row r="29" spans="1:22">
      <c r="K29" s="18"/>
      <c r="N29" s="18"/>
    </row>
    <row r="30" spans="1:22">
      <c r="K30" s="18"/>
      <c r="N30" s="18"/>
    </row>
    <row r="31" spans="1:22">
      <c r="K31" s="18"/>
      <c r="N31" s="18"/>
    </row>
    <row r="32" spans="1:22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</sheetData>
  <phoneticPr fontId="3" type="noConversion"/>
  <conditionalFormatting sqref="K2:T12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3:R13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3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1:U21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4:U2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L13:R13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L21:U21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L24:U24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73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2018-10-17T23:15:57Z</dcterms:modified>
</cp:coreProperties>
</file>